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<sst xmlns="http://schemas.openxmlformats.org/spreadsheetml/2006/main" count="609" uniqueCount="226">
  <si>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</si>
  <si>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</si>
  <si>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</si>
  <si>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</si>
  <si>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</si>
  <si>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</si>
  <si>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</si>
  <si>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</si>
  <si>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</si>
  <si>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</si>
  <si>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</si>
  <si>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</si>
  <si>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</si>
  <si>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</si>
  <si>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</si>
  <si>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</si>
  <si>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</si>
  <si>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</si>
  <si>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</si>
  <si>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</si>
  <si>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</si>
  <si>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</si>
  <si>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</si>
  <si>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</si>
  <si>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</si>
  <si>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</si>
  <si>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</si>
  <si>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</si>
  <si>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</si>
  <si>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</si>
  <si>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</si>
  <si>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</si>
  <si>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</si>
  <si>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</si>
  <si>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</si>
  <si>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</si>
  <si>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</si>
  <si>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</si>
  <si>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</si>
  <si>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</si>
  <si>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</si>
  <si>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</si>
  <si>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</si>
  <si>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</si>
  <si>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</si>
  <si>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</si>
  <si>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</si>
  <si>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</si>
  <si>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</si>
  <si>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</si>
  <si>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</si>
  <si>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</si>
  <si>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</si>
  <si>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</si>
  <si>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</si>
  <si>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</si>
  <si>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</si>
  <si>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</si>
  <si>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</si>
  <si>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</si>
  <si>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</si>
  <si>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</si>
  <si>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</si>
  <si>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</si>
  <si>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</si>
  <si>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</si>
  <si>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</si>
  <si>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</si>
  <si>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</si>
  <si>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</si>
  <si>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</si>
  <si>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</si>
  <si>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</si>
  <si>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</si>
  <si>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</si>
  <si>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</si>
  <si>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</si>
  <si>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</si>
  <si>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</si>
  <si>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</si>
  <si>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</si>
  <si>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</si>
  <si>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</si>
  <si>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</si>
  <si>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</si>
  <si>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</si>
  <si>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</si>
  <si>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</si>
  <si>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</si>
  <si>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</si>
  <si>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</si>
  <si>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</si>
  <si>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</si>
  <si>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</si>
  <si>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</si>
  <si>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</si>
  <si>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</si>
  <si>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</si>
  <si>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</si>
  <si>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</si>
  <si>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</si>
  <si>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</si>
  <si>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</si>
  <si>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Социальные пособия и компенсации персоналу в денежной форме</t>
  </si>
  <si>
    <t>266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</si>
  <si>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</si>
  <si>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</si>
  <si>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</si>
  <si>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</si>
  <si>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</si>
  <si>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</si>
  <si>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</si>
  <si>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</si>
  <si>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</si>
  <si>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</si>
  <si>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</si>
  <si>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</si>
  <si>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</si>
  <si>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</si>
  <si>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</si>
  <si>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</si>
  <si>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</si>
  <si>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</si>
  <si>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</si>
  <si>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</si>
  <si>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</si>
  <si>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</si>
  <si>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</si>
  <si>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</si>
  <si>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</si>
  <si>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</si>
  <si>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</si>
  <si>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</si>
  <si>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</si>
  <si>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</si>
  <si>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</si>
  <si>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</si>
  <si>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</si>
  <si>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</si>
  <si>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</si>
  <si>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</si>
  <si>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</si>
  <si>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</si>
  <si>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</si>
  <si>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</si>
  <si>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</si>
  <si>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</si>
  <si>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</si>
  <si>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</si>
  <si>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</si>
  <si>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</si>
  <si>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</si>
  <si>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</si>
  <si>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</si>
  <si>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</si>
  <si>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</si>
  <si>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</si>
  <si>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</si>
  <si>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</si>
  <si>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</si>
  <si>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</si>
  <si>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</si>
  <si>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</si>
  <si>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</si>
  <si>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</si>
  <si>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</si>
  <si>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</si>
  <si>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</si>
  <si>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</si>
  <si>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</si>
  <si>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</si>
  <si>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</si>
  <si>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</si>
  <si>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</si>
  <si>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</si>
  <si>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650 0503 0500120602 244</t>
  </si>
  <si>
    <t>650 0503 0500120603 244</t>
  </si>
  <si>
    <t>650 0503 0500120604 244</t>
  </si>
  <si>
    <t>650 0503 0500189001 244</t>
  </si>
  <si>
    <t>650 0503 0500189016 244</t>
  </si>
  <si>
    <t>650 0503 0500189017 244</t>
  </si>
  <si>
    <t>650 0503 0500189022 244</t>
  </si>
  <si>
    <t>650 0503 0500189026 244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</si>
  <si>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</si>
  <si>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</si>
  <si>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</si>
  <si>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</si>
  <si>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</si>
  <si>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</si>
  <si>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</si>
  <si>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</si>
  <si>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</si>
  <si>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</si>
  <si>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</si>
  <si>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</si>
  <si>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</si>
  <si>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</si>
  <si>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</si>
  <si>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</si>
  <si>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</si>
  <si>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</si>
  <si>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</si>
  <si>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</si>
  <si>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</si>
  <si>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</si>
  <si>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</si>
  <si>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</si>
  <si>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</si>
  <si>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</si>
  <si>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</si>
  <si>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</si>
  <si>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</si>
  <si>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</si>
  <si>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</si>
  <si>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</si>
  <si>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</si>
  <si>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</si>
  <si>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</si>
  <si>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</si>
  <si>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</si>
  <si>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</si>
  <si>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</si>
  <si>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</si>
  <si>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</si>
  <si>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>Форма 0503117 с.1</t>
  </si>
  <si>
    <t xml:space="preserve">   05 ноября 2020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</si>
</sst>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25">
      <selection activeCell="AA14" sqref="AA14:AC1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1.14062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3.00390625" style="1" customWidth="1"/>
    <col min="19" max="20" width="2.7109375" style="1" customWidth="1"/>
    <col min="21" max="21" width="10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140625" style="1" customWidth="1"/>
    <col min="27" max="27" width="1.7109375" style="1" customWidth="1"/>
    <col min="28" max="28" width="3.7109375" style="1" customWidth="1"/>
    <col min="29" max="29" width="11.0039062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44136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10</v>
      </c>
    </row>
    <row r="6" spans="1:29" s="1" customFormat="1" ht="13.5" customHeight="1">
      <c r="A6" s="8" t="s">
        <v>11</v>
      </c>
      <c r="B6" s="8"/>
      <c r="C6" s="8"/>
      <c r="D6" s="8"/>
      <c r="E6" s="8"/>
      <c r="F6" s="8"/>
      <c r="G6" s="59" t="s">
        <v>12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13</v>
      </c>
      <c r="Z6" s="10"/>
      <c r="AA6" s="10"/>
      <c r="AB6" s="10"/>
      <c r="AC6" s="6">
        <v>71818403</v>
      </c>
    </row>
    <row r="7" spans="1:29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10</v>
      </c>
    </row>
    <row r="8" spans="1:29" s="1" customFormat="1" ht="13.5" customHeight="1">
      <c r="A8" s="8" t="s">
        <v>16</v>
      </c>
      <c r="B8" s="8"/>
      <c r="C8" s="8"/>
      <c r="D8" s="8"/>
      <c r="E8" s="8" t="s">
        <v>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18</v>
      </c>
      <c r="Y8" s="10"/>
      <c r="Z8" s="10"/>
      <c r="AA8" s="10"/>
      <c r="AB8" s="10"/>
      <c r="AC8" s="7" t="s">
        <v>19</v>
      </c>
    </row>
    <row r="9" spans="1:29" s="1" customFormat="1" ht="13.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22</v>
      </c>
      <c r="N10" s="45"/>
      <c r="O10" s="45"/>
      <c r="P10" s="45" t="s">
        <v>23</v>
      </c>
      <c r="Q10" s="45"/>
      <c r="R10" s="45"/>
      <c r="S10" s="46" t="s">
        <v>24</v>
      </c>
      <c r="T10" s="46"/>
      <c r="U10" s="46"/>
      <c r="V10" s="46" t="s">
        <v>25</v>
      </c>
      <c r="W10" s="46"/>
      <c r="X10" s="46"/>
      <c r="Y10" s="46"/>
      <c r="Z10" s="46"/>
      <c r="AA10" s="47" t="s">
        <v>26</v>
      </c>
      <c r="AB10" s="47"/>
      <c r="AC10" s="47"/>
    </row>
    <row r="11" spans="1:29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28</v>
      </c>
      <c r="N11" s="40"/>
      <c r="O11" s="40"/>
      <c r="P11" s="40" t="s">
        <v>29</v>
      </c>
      <c r="Q11" s="40"/>
      <c r="R11" s="40"/>
      <c r="S11" s="41" t="s">
        <v>30</v>
      </c>
      <c r="T11" s="41"/>
      <c r="U11" s="41"/>
      <c r="V11" s="41" t="s">
        <v>31</v>
      </c>
      <c r="W11" s="41"/>
      <c r="X11" s="41"/>
      <c r="Y11" s="41"/>
      <c r="Z11" s="41"/>
      <c r="AA11" s="42" t="s">
        <v>32</v>
      </c>
      <c r="AB11" s="42"/>
      <c r="AC11" s="42"/>
    </row>
    <row r="12" spans="1:29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34</v>
      </c>
      <c r="N12" s="36"/>
      <c r="O12" s="36"/>
      <c r="P12" s="36" t="s">
        <v>35</v>
      </c>
      <c r="Q12" s="36"/>
      <c r="R12" s="36"/>
      <c r="S12" s="38">
        <f>32387965.97</f>
        <v>32387965.97</v>
      </c>
      <c r="T12" s="38"/>
      <c r="U12" s="38"/>
      <c r="V12" s="38">
        <f>29322487.25</f>
        <v>29322487.25</v>
      </c>
      <c r="W12" s="38"/>
      <c r="X12" s="38"/>
      <c r="Y12" s="38"/>
      <c r="Z12" s="38"/>
      <c r="AA12" s="54">
        <f>3065478.72</f>
        <v>3065478.72</v>
      </c>
      <c r="AB12" s="54"/>
      <c r="AC12" s="54"/>
    </row>
    <row r="13" spans="1:29" s="1" customFormat="1" ht="66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34</v>
      </c>
      <c r="N13" s="29"/>
      <c r="O13" s="29"/>
      <c r="P13" s="29" t="s">
        <v>37</v>
      </c>
      <c r="Q13" s="29"/>
      <c r="R13" s="29"/>
      <c r="S13" s="56">
        <f>385890</f>
        <v>385890</v>
      </c>
      <c r="T13" s="56"/>
      <c r="U13" s="56"/>
      <c r="V13" s="56">
        <f>288285.68</f>
        <v>288285.68</v>
      </c>
      <c r="W13" s="56"/>
      <c r="X13" s="56"/>
      <c r="Y13" s="56"/>
      <c r="Z13" s="56"/>
      <c r="AA13" s="57">
        <f>97604.32</f>
        <v>97604.32</v>
      </c>
      <c r="AB13" s="57"/>
      <c r="AC13" s="57"/>
    </row>
    <row r="14" spans="1:29" s="1" customFormat="1" ht="75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34</v>
      </c>
      <c r="N14" s="29"/>
      <c r="O14" s="29"/>
      <c r="P14" s="29" t="s">
        <v>39</v>
      </c>
      <c r="Q14" s="29"/>
      <c r="R14" s="29"/>
      <c r="S14" s="56">
        <f>1990</f>
        <v>1990</v>
      </c>
      <c r="T14" s="56"/>
      <c r="U14" s="56"/>
      <c r="V14" s="56">
        <f>2027.16</f>
        <v>2027.16</v>
      </c>
      <c r="W14" s="56"/>
      <c r="X14" s="56"/>
      <c r="Y14" s="56"/>
      <c r="Z14" s="56"/>
      <c r="AA14" s="58" t="s">
        <v>40</v>
      </c>
      <c r="AB14" s="58"/>
      <c r="AC14" s="58"/>
    </row>
    <row r="15" spans="1:29" s="1" customFormat="1" ht="66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34</v>
      </c>
      <c r="N15" s="29"/>
      <c r="O15" s="29"/>
      <c r="P15" s="29" t="s">
        <v>42</v>
      </c>
      <c r="Q15" s="29"/>
      <c r="R15" s="29"/>
      <c r="S15" s="56">
        <f>454250</f>
        <v>454250</v>
      </c>
      <c r="T15" s="56"/>
      <c r="U15" s="56"/>
      <c r="V15" s="56">
        <f>387932.09</f>
        <v>387932.09</v>
      </c>
      <c r="W15" s="56"/>
      <c r="X15" s="56"/>
      <c r="Y15" s="56"/>
      <c r="Z15" s="56"/>
      <c r="AA15" s="57">
        <f>66317.91</f>
        <v>66317.91</v>
      </c>
      <c r="AB15" s="57"/>
      <c r="AC15" s="57"/>
    </row>
    <row r="16" spans="1:29" s="1" customFormat="1" ht="66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34</v>
      </c>
      <c r="N16" s="29"/>
      <c r="O16" s="29"/>
      <c r="P16" s="29" t="s">
        <v>44</v>
      </c>
      <c r="Q16" s="29"/>
      <c r="R16" s="29"/>
      <c r="S16" s="31" t="s">
        <v>40</v>
      </c>
      <c r="T16" s="31"/>
      <c r="U16" s="31"/>
      <c r="V16" s="56">
        <f>-51762.93</f>
        <v>-51762.93</v>
      </c>
      <c r="W16" s="56"/>
      <c r="X16" s="56"/>
      <c r="Y16" s="56"/>
      <c r="Z16" s="56"/>
      <c r="AA16" s="58" t="s">
        <v>40</v>
      </c>
      <c r="AB16" s="58"/>
      <c r="AC16" s="58"/>
    </row>
    <row r="17" spans="1:29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34</v>
      </c>
      <c r="N17" s="29"/>
      <c r="O17" s="29"/>
      <c r="P17" s="29" t="s">
        <v>46</v>
      </c>
      <c r="Q17" s="29"/>
      <c r="R17" s="29"/>
      <c r="S17" s="56">
        <f>1500000</f>
        <v>1500000</v>
      </c>
      <c r="T17" s="56"/>
      <c r="U17" s="56"/>
      <c r="V17" s="56">
        <f>1426923.36</f>
        <v>1426923.36</v>
      </c>
      <c r="W17" s="56"/>
      <c r="X17" s="56"/>
      <c r="Y17" s="56"/>
      <c r="Z17" s="56"/>
      <c r="AA17" s="57">
        <f>73076.64</f>
        <v>73076.64</v>
      </c>
      <c r="AB17" s="57"/>
      <c r="AC17" s="57"/>
    </row>
    <row r="18" spans="1:29" s="1" customFormat="1" ht="24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34</v>
      </c>
      <c r="N18" s="29"/>
      <c r="O18" s="29"/>
      <c r="P18" s="29" t="s">
        <v>48</v>
      </c>
      <c r="Q18" s="29"/>
      <c r="R18" s="29"/>
      <c r="S18" s="31" t="s">
        <v>40</v>
      </c>
      <c r="T18" s="31"/>
      <c r="U18" s="31"/>
      <c r="V18" s="56">
        <f>5490.37</f>
        <v>5490.37</v>
      </c>
      <c r="W18" s="56"/>
      <c r="X18" s="56"/>
      <c r="Y18" s="56"/>
      <c r="Z18" s="56"/>
      <c r="AA18" s="58" t="s">
        <v>40</v>
      </c>
      <c r="AB18" s="58"/>
      <c r="AC18" s="58"/>
    </row>
    <row r="19" spans="1:29" s="1" customFormat="1" ht="13.5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34</v>
      </c>
      <c r="N19" s="29"/>
      <c r="O19" s="29"/>
      <c r="P19" s="29" t="s">
        <v>50</v>
      </c>
      <c r="Q19" s="29"/>
      <c r="R19" s="29"/>
      <c r="S19" s="56">
        <f>128200</f>
        <v>128200</v>
      </c>
      <c r="T19" s="56"/>
      <c r="U19" s="56"/>
      <c r="V19" s="56">
        <f>37337.87</f>
        <v>37337.87</v>
      </c>
      <c r="W19" s="56"/>
      <c r="X19" s="56"/>
      <c r="Y19" s="56"/>
      <c r="Z19" s="56"/>
      <c r="AA19" s="57">
        <f>90862.13</f>
        <v>90862.13</v>
      </c>
      <c r="AB19" s="57"/>
      <c r="AC19" s="57"/>
    </row>
    <row r="20" spans="1:29" s="1" customFormat="1" ht="13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34</v>
      </c>
      <c r="N20" s="29"/>
      <c r="O20" s="29"/>
      <c r="P20" s="29" t="s">
        <v>52</v>
      </c>
      <c r="Q20" s="29"/>
      <c r="R20" s="29"/>
      <c r="S20" s="56">
        <f>93500</f>
        <v>93500</v>
      </c>
      <c r="T20" s="56"/>
      <c r="U20" s="56"/>
      <c r="V20" s="56">
        <f>32103.5</f>
        <v>32103.5</v>
      </c>
      <c r="W20" s="56"/>
      <c r="X20" s="56"/>
      <c r="Y20" s="56"/>
      <c r="Z20" s="56"/>
      <c r="AA20" s="57">
        <f>61396.5</f>
        <v>61396.5</v>
      </c>
      <c r="AB20" s="57"/>
      <c r="AC20" s="57"/>
    </row>
    <row r="21" spans="1:29" s="1" customFormat="1" ht="24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34</v>
      </c>
      <c r="N21" s="29"/>
      <c r="O21" s="29"/>
      <c r="P21" s="29" t="s">
        <v>54</v>
      </c>
      <c r="Q21" s="29"/>
      <c r="R21" s="29"/>
      <c r="S21" s="56">
        <f>71300</f>
        <v>71300</v>
      </c>
      <c r="T21" s="56"/>
      <c r="U21" s="56"/>
      <c r="V21" s="56">
        <f>14047.12</f>
        <v>14047.12</v>
      </c>
      <c r="W21" s="56"/>
      <c r="X21" s="56"/>
      <c r="Y21" s="56"/>
      <c r="Z21" s="56"/>
      <c r="AA21" s="57">
        <f>57252.88</f>
        <v>57252.88</v>
      </c>
      <c r="AB21" s="57"/>
      <c r="AC21" s="57"/>
    </row>
    <row r="22" spans="1:29" s="1" customFormat="1" ht="13.5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34</v>
      </c>
      <c r="N22" s="29"/>
      <c r="O22" s="29"/>
      <c r="P22" s="29" t="s">
        <v>56</v>
      </c>
      <c r="Q22" s="29"/>
      <c r="R22" s="29"/>
      <c r="S22" s="56">
        <f>4700</f>
        <v>4700</v>
      </c>
      <c r="T22" s="56"/>
      <c r="U22" s="56"/>
      <c r="V22" s="56">
        <f>1397.08</f>
        <v>1397.08</v>
      </c>
      <c r="W22" s="56"/>
      <c r="X22" s="56"/>
      <c r="Y22" s="56"/>
      <c r="Z22" s="56"/>
      <c r="AA22" s="57">
        <f>3302.92</f>
        <v>3302.92</v>
      </c>
      <c r="AB22" s="57"/>
      <c r="AC22" s="57"/>
    </row>
    <row r="23" spans="1:29" s="1" customFormat="1" ht="13.5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34</v>
      </c>
      <c r="N23" s="29"/>
      <c r="O23" s="29"/>
      <c r="P23" s="29" t="s">
        <v>58</v>
      </c>
      <c r="Q23" s="29"/>
      <c r="R23" s="29"/>
      <c r="S23" s="56">
        <f>4900</f>
        <v>4900</v>
      </c>
      <c r="T23" s="56"/>
      <c r="U23" s="56"/>
      <c r="V23" s="56">
        <f>3533.59</f>
        <v>3533.59</v>
      </c>
      <c r="W23" s="56"/>
      <c r="X23" s="56"/>
      <c r="Y23" s="56"/>
      <c r="Z23" s="56"/>
      <c r="AA23" s="57">
        <f>1366.41</f>
        <v>1366.41</v>
      </c>
      <c r="AB23" s="57"/>
      <c r="AC23" s="57"/>
    </row>
    <row r="24" spans="1:29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34</v>
      </c>
      <c r="N24" s="29"/>
      <c r="O24" s="29"/>
      <c r="P24" s="29" t="s">
        <v>60</v>
      </c>
      <c r="Q24" s="29"/>
      <c r="R24" s="29"/>
      <c r="S24" s="56">
        <f>1900</f>
        <v>1900</v>
      </c>
      <c r="T24" s="56"/>
      <c r="U24" s="56"/>
      <c r="V24" s="56">
        <f>53151</f>
        <v>53151</v>
      </c>
      <c r="W24" s="56"/>
      <c r="X24" s="56"/>
      <c r="Y24" s="56"/>
      <c r="Z24" s="56"/>
      <c r="AA24" s="58" t="s">
        <v>40</v>
      </c>
      <c r="AB24" s="58"/>
      <c r="AC24" s="58"/>
    </row>
    <row r="25" spans="1:29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34</v>
      </c>
      <c r="N25" s="29"/>
      <c r="O25" s="29"/>
      <c r="P25" s="29" t="s">
        <v>62</v>
      </c>
      <c r="Q25" s="29"/>
      <c r="R25" s="29"/>
      <c r="S25" s="56">
        <f>5500</f>
        <v>5500</v>
      </c>
      <c r="T25" s="56"/>
      <c r="U25" s="56"/>
      <c r="V25" s="56">
        <f>2066.92</f>
        <v>2066.92</v>
      </c>
      <c r="W25" s="56"/>
      <c r="X25" s="56"/>
      <c r="Y25" s="56"/>
      <c r="Z25" s="56"/>
      <c r="AA25" s="57">
        <f>3433.08</f>
        <v>3433.08</v>
      </c>
      <c r="AB25" s="57"/>
      <c r="AC25" s="57"/>
    </row>
    <row r="26" spans="1:29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34</v>
      </c>
      <c r="N26" s="29"/>
      <c r="O26" s="29"/>
      <c r="P26" s="29" t="s">
        <v>64</v>
      </c>
      <c r="Q26" s="29"/>
      <c r="R26" s="29"/>
      <c r="S26" s="56">
        <f>2000</f>
        <v>2000</v>
      </c>
      <c r="T26" s="56"/>
      <c r="U26" s="56"/>
      <c r="V26" s="56">
        <f>1800</f>
        <v>1800</v>
      </c>
      <c r="W26" s="56"/>
      <c r="X26" s="56"/>
      <c r="Y26" s="56"/>
      <c r="Z26" s="56"/>
      <c r="AA26" s="57">
        <f>200</f>
        <v>200</v>
      </c>
      <c r="AB26" s="57"/>
      <c r="AC26" s="57"/>
    </row>
    <row r="27" spans="1:29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34</v>
      </c>
      <c r="N27" s="29"/>
      <c r="O27" s="29"/>
      <c r="P27" s="29" t="s">
        <v>66</v>
      </c>
      <c r="Q27" s="29"/>
      <c r="R27" s="29"/>
      <c r="S27" s="56">
        <f>269800</f>
        <v>269800</v>
      </c>
      <c r="T27" s="56"/>
      <c r="U27" s="56"/>
      <c r="V27" s="56">
        <f>231483.54</f>
        <v>231483.54</v>
      </c>
      <c r="W27" s="56"/>
      <c r="X27" s="56"/>
      <c r="Y27" s="56"/>
      <c r="Z27" s="56"/>
      <c r="AA27" s="57">
        <f>38316.46</f>
        <v>38316.46</v>
      </c>
      <c r="AB27" s="57"/>
      <c r="AC27" s="57"/>
    </row>
    <row r="28" spans="1:29" s="1" customFormat="1" ht="45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34</v>
      </c>
      <c r="N28" s="29"/>
      <c r="O28" s="29"/>
      <c r="P28" s="29" t="s">
        <v>68</v>
      </c>
      <c r="Q28" s="29"/>
      <c r="R28" s="29"/>
      <c r="S28" s="56">
        <f>134100</f>
        <v>134100</v>
      </c>
      <c r="T28" s="56"/>
      <c r="U28" s="56"/>
      <c r="V28" s="56">
        <f>84723.04</f>
        <v>84723.04</v>
      </c>
      <c r="W28" s="56"/>
      <c r="X28" s="56"/>
      <c r="Y28" s="56"/>
      <c r="Z28" s="56"/>
      <c r="AA28" s="57">
        <f>49376.96</f>
        <v>49376.96</v>
      </c>
      <c r="AB28" s="57"/>
      <c r="AC28" s="57"/>
    </row>
    <row r="29" spans="1:29" s="1" customFormat="1" ht="13.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34</v>
      </c>
      <c r="N29" s="29"/>
      <c r="O29" s="29"/>
      <c r="P29" s="29" t="s">
        <v>70</v>
      </c>
      <c r="Q29" s="29"/>
      <c r="R29" s="29"/>
      <c r="S29" s="56">
        <f>53798.08</f>
        <v>53798.08</v>
      </c>
      <c r="T29" s="56"/>
      <c r="U29" s="56"/>
      <c r="V29" s="56">
        <f>53798.08</f>
        <v>53798.08</v>
      </c>
      <c r="W29" s="56"/>
      <c r="X29" s="56"/>
      <c r="Y29" s="56"/>
      <c r="Z29" s="56"/>
      <c r="AA29" s="57">
        <f>0</f>
        <v>0</v>
      </c>
      <c r="AB29" s="57"/>
      <c r="AC29" s="57"/>
    </row>
    <row r="30" spans="1:29" s="1" customFormat="1" ht="13.5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34</v>
      </c>
      <c r="N30" s="29"/>
      <c r="O30" s="29"/>
      <c r="P30" s="29" t="s">
        <v>72</v>
      </c>
      <c r="Q30" s="29"/>
      <c r="R30" s="29"/>
      <c r="S30" s="31" t="s">
        <v>40</v>
      </c>
      <c r="T30" s="31"/>
      <c r="U30" s="31"/>
      <c r="V30" s="56">
        <f>10879.11</f>
        <v>10879.11</v>
      </c>
      <c r="W30" s="56"/>
      <c r="X30" s="56"/>
      <c r="Y30" s="56"/>
      <c r="Z30" s="56"/>
      <c r="AA30" s="58" t="s">
        <v>40</v>
      </c>
      <c r="AB30" s="58"/>
      <c r="AC30" s="58"/>
    </row>
    <row r="31" spans="1:29" s="1" customFormat="1" ht="24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34</v>
      </c>
      <c r="N31" s="29"/>
      <c r="O31" s="29"/>
      <c r="P31" s="29" t="s">
        <v>74</v>
      </c>
      <c r="Q31" s="29"/>
      <c r="R31" s="29"/>
      <c r="S31" s="56">
        <f>6882700</f>
        <v>6882700</v>
      </c>
      <c r="T31" s="56"/>
      <c r="U31" s="56"/>
      <c r="V31" s="56">
        <f>6134486</f>
        <v>6134486</v>
      </c>
      <c r="W31" s="56"/>
      <c r="X31" s="56"/>
      <c r="Y31" s="56"/>
      <c r="Z31" s="56"/>
      <c r="AA31" s="57">
        <f>748214</f>
        <v>748214</v>
      </c>
      <c r="AB31" s="57"/>
      <c r="AC31" s="57"/>
    </row>
    <row r="32" spans="1:29" s="1" customFormat="1" ht="13.5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34</v>
      </c>
      <c r="N32" s="29"/>
      <c r="O32" s="29"/>
      <c r="P32" s="29" t="s">
        <v>76</v>
      </c>
      <c r="Q32" s="29"/>
      <c r="R32" s="29"/>
      <c r="S32" s="56">
        <f>4826.09</f>
        <v>4826.09</v>
      </c>
      <c r="T32" s="56"/>
      <c r="U32" s="56"/>
      <c r="V32" s="56">
        <f>4826.09</f>
        <v>4826.09</v>
      </c>
      <c r="W32" s="56"/>
      <c r="X32" s="56"/>
      <c r="Y32" s="56"/>
      <c r="Z32" s="56"/>
      <c r="AA32" s="57">
        <f>0</f>
        <v>0</v>
      </c>
      <c r="AB32" s="57"/>
      <c r="AC32" s="57"/>
    </row>
    <row r="33" spans="1:29" s="1" customFormat="1" ht="24" customHeight="1">
      <c r="A33" s="27" t="s">
        <v>77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34</v>
      </c>
      <c r="N33" s="29"/>
      <c r="O33" s="29"/>
      <c r="P33" s="29" t="s">
        <v>78</v>
      </c>
      <c r="Q33" s="29"/>
      <c r="R33" s="29"/>
      <c r="S33" s="56">
        <f>12889.02</f>
        <v>12889.02</v>
      </c>
      <c r="T33" s="56"/>
      <c r="U33" s="56"/>
      <c r="V33" s="56">
        <f>12888.48</f>
        <v>12888.48</v>
      </c>
      <c r="W33" s="56"/>
      <c r="X33" s="56"/>
      <c r="Y33" s="56"/>
      <c r="Z33" s="56"/>
      <c r="AA33" s="57">
        <f>0.54</f>
        <v>0.54</v>
      </c>
      <c r="AB33" s="57"/>
      <c r="AC33" s="57"/>
    </row>
    <row r="34" spans="1:29" s="1" customFormat="1" ht="24" customHeight="1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34</v>
      </c>
      <c r="N34" s="29"/>
      <c r="O34" s="29"/>
      <c r="P34" s="29" t="s">
        <v>80</v>
      </c>
      <c r="Q34" s="29"/>
      <c r="R34" s="29"/>
      <c r="S34" s="56">
        <f>116724.39</f>
        <v>116724.39</v>
      </c>
      <c r="T34" s="56"/>
      <c r="U34" s="56"/>
      <c r="V34" s="56">
        <f>59791.71</f>
        <v>59791.71</v>
      </c>
      <c r="W34" s="56"/>
      <c r="X34" s="56"/>
      <c r="Y34" s="56"/>
      <c r="Z34" s="56"/>
      <c r="AA34" s="57">
        <f>56932.68</f>
        <v>56932.68</v>
      </c>
      <c r="AB34" s="57"/>
      <c r="AC34" s="57"/>
    </row>
    <row r="35" spans="1:29" s="1" customFormat="1" ht="24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34</v>
      </c>
      <c r="N35" s="29"/>
      <c r="O35" s="29"/>
      <c r="P35" s="29" t="s">
        <v>82</v>
      </c>
      <c r="Q35" s="29"/>
      <c r="R35" s="29"/>
      <c r="S35" s="56">
        <f>5000</f>
        <v>5000</v>
      </c>
      <c r="T35" s="56"/>
      <c r="U35" s="56"/>
      <c r="V35" s="56">
        <f>5000</f>
        <v>5000</v>
      </c>
      <c r="W35" s="56"/>
      <c r="X35" s="56"/>
      <c r="Y35" s="56"/>
      <c r="Z35" s="56"/>
      <c r="AA35" s="57">
        <f>0</f>
        <v>0</v>
      </c>
      <c r="AB35" s="57"/>
      <c r="AC35" s="57"/>
    </row>
    <row r="36" spans="1:29" s="1" customFormat="1" ht="24" customHeight="1">
      <c r="A36" s="27" t="s">
        <v>83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34</v>
      </c>
      <c r="N36" s="29"/>
      <c r="O36" s="29"/>
      <c r="P36" s="29" t="s">
        <v>84</v>
      </c>
      <c r="Q36" s="29"/>
      <c r="R36" s="29"/>
      <c r="S36" s="56">
        <f>22171148.39</f>
        <v>22171148.39</v>
      </c>
      <c r="T36" s="56"/>
      <c r="U36" s="56"/>
      <c r="V36" s="56">
        <f>20437428.39</f>
        <v>20437428.39</v>
      </c>
      <c r="W36" s="56"/>
      <c r="X36" s="56"/>
      <c r="Y36" s="56"/>
      <c r="Z36" s="56"/>
      <c r="AA36" s="57">
        <f>1733720</f>
        <v>1733720</v>
      </c>
      <c r="AB36" s="57"/>
      <c r="AC36" s="57"/>
    </row>
    <row r="37" spans="1:29" s="1" customFormat="1" ht="13.5" customHeight="1">
      <c r="A37" s="27" t="s">
        <v>85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34</v>
      </c>
      <c r="N37" s="29"/>
      <c r="O37" s="29"/>
      <c r="P37" s="29" t="s">
        <v>86</v>
      </c>
      <c r="Q37" s="29"/>
      <c r="R37" s="29"/>
      <c r="S37" s="56">
        <f>82850</f>
        <v>82850</v>
      </c>
      <c r="T37" s="56"/>
      <c r="U37" s="56"/>
      <c r="V37" s="56">
        <f>82850</f>
        <v>82850</v>
      </c>
      <c r="W37" s="56"/>
      <c r="X37" s="56"/>
      <c r="Y37" s="56"/>
      <c r="Z37" s="56"/>
      <c r="AA37" s="57">
        <f>0</f>
        <v>0</v>
      </c>
      <c r="AB37" s="57"/>
      <c r="AC37" s="57"/>
    </row>
    <row r="38" spans="1:29" s="1" customFormat="1" ht="13.5" customHeight="1">
      <c r="A38" s="55" t="s">
        <v>10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s="1" customFormat="1" ht="13.5" customHeight="1">
      <c r="A39" s="44" t="s">
        <v>87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s="1" customFormat="1" ht="34.5" customHeight="1">
      <c r="A40" s="45" t="s">
        <v>21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 t="s">
        <v>22</v>
      </c>
      <c r="M40" s="45"/>
      <c r="N40" s="45"/>
      <c r="O40" s="45" t="s">
        <v>88</v>
      </c>
      <c r="P40" s="45"/>
      <c r="Q40" s="45"/>
      <c r="R40" s="46" t="s">
        <v>89</v>
      </c>
      <c r="S40" s="46"/>
      <c r="T40" s="46" t="s">
        <v>24</v>
      </c>
      <c r="U40" s="46"/>
      <c r="V40" s="46"/>
      <c r="W40" s="46" t="s">
        <v>25</v>
      </c>
      <c r="X40" s="46"/>
      <c r="Y40" s="46"/>
      <c r="Z40" s="46"/>
      <c r="AA40" s="46"/>
      <c r="AB40" s="47" t="s">
        <v>26</v>
      </c>
      <c r="AC40" s="47"/>
    </row>
    <row r="41" spans="1:29" s="1" customFormat="1" ht="13.5" customHeight="1">
      <c r="A41" s="40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 t="s">
        <v>28</v>
      </c>
      <c r="M41" s="40"/>
      <c r="N41" s="40"/>
      <c r="O41" s="40" t="s">
        <v>29</v>
      </c>
      <c r="P41" s="40"/>
      <c r="Q41" s="40"/>
      <c r="R41" s="41" t="s">
        <v>30</v>
      </c>
      <c r="S41" s="41"/>
      <c r="T41" s="41" t="s">
        <v>31</v>
      </c>
      <c r="U41" s="41"/>
      <c r="V41" s="41"/>
      <c r="W41" s="41" t="s">
        <v>32</v>
      </c>
      <c r="X41" s="41"/>
      <c r="Y41" s="41"/>
      <c r="Z41" s="41"/>
      <c r="AA41" s="41"/>
      <c r="AB41" s="42" t="s">
        <v>90</v>
      </c>
      <c r="AC41" s="42"/>
    </row>
    <row r="42" spans="1:29" s="1" customFormat="1" ht="13.5" customHeight="1">
      <c r="A42" s="35" t="s">
        <v>91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 t="s">
        <v>92</v>
      </c>
      <c r="M42" s="36"/>
      <c r="N42" s="36"/>
      <c r="O42" s="36" t="s">
        <v>35</v>
      </c>
      <c r="P42" s="36"/>
      <c r="Q42" s="36"/>
      <c r="R42" s="53" t="s">
        <v>35</v>
      </c>
      <c r="S42" s="53"/>
      <c r="T42" s="38">
        <f>33425077.26</f>
        <v>33425077.26</v>
      </c>
      <c r="U42" s="38"/>
      <c r="V42" s="38"/>
      <c r="W42" s="38">
        <f>29729877.7</f>
        <v>29729877.7</v>
      </c>
      <c r="X42" s="38"/>
      <c r="Y42" s="38"/>
      <c r="Z42" s="38"/>
      <c r="AA42" s="38"/>
      <c r="AB42" s="54">
        <f>3695199.56</f>
        <v>3695199.56</v>
      </c>
      <c r="AC42" s="54"/>
    </row>
    <row r="43" spans="1:29" s="1" customFormat="1" ht="13.5" customHeight="1">
      <c r="A43" s="14" t="s">
        <v>93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92</v>
      </c>
      <c r="M43" s="15"/>
      <c r="N43" s="15"/>
      <c r="O43" s="15" t="s">
        <v>94</v>
      </c>
      <c r="P43" s="15"/>
      <c r="Q43" s="15"/>
      <c r="R43" s="23" t="s">
        <v>95</v>
      </c>
      <c r="S43" s="23"/>
      <c r="T43" s="17">
        <f>929893.7</f>
        <v>929893.7</v>
      </c>
      <c r="U43" s="17"/>
      <c r="V43" s="17"/>
      <c r="W43" s="17">
        <f>908724.98</f>
        <v>908724.98</v>
      </c>
      <c r="X43" s="17"/>
      <c r="Y43" s="17"/>
      <c r="Z43" s="17"/>
      <c r="AA43" s="17"/>
      <c r="AB43" s="52">
        <f>21168.72</f>
        <v>21168.72</v>
      </c>
      <c r="AC43" s="52"/>
    </row>
    <row r="44" spans="1:29" s="1" customFormat="1" ht="13.5" customHeight="1">
      <c r="A44" s="14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92</v>
      </c>
      <c r="M44" s="15"/>
      <c r="N44" s="15"/>
      <c r="O44" s="15" t="s">
        <v>97</v>
      </c>
      <c r="P44" s="15"/>
      <c r="Q44" s="15"/>
      <c r="R44" s="23" t="s">
        <v>98</v>
      </c>
      <c r="S44" s="23"/>
      <c r="T44" s="17">
        <f>129606.8</f>
        <v>129606.8</v>
      </c>
      <c r="U44" s="17"/>
      <c r="V44" s="17"/>
      <c r="W44" s="17">
        <f>129606.8</f>
        <v>129606.8</v>
      </c>
      <c r="X44" s="17"/>
      <c r="Y44" s="17"/>
      <c r="Z44" s="17"/>
      <c r="AA44" s="17"/>
      <c r="AB44" s="52">
        <f>0</f>
        <v>0</v>
      </c>
      <c r="AC44" s="52"/>
    </row>
    <row r="45" spans="1:29" s="1" customFormat="1" ht="13.5" customHeight="1">
      <c r="A45" s="14" t="s">
        <v>99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92</v>
      </c>
      <c r="M45" s="15"/>
      <c r="N45" s="15"/>
      <c r="O45" s="15" t="s">
        <v>100</v>
      </c>
      <c r="P45" s="15"/>
      <c r="Q45" s="15"/>
      <c r="R45" s="23" t="s">
        <v>101</v>
      </c>
      <c r="S45" s="23"/>
      <c r="T45" s="17">
        <f>323393.2</f>
        <v>323393.2</v>
      </c>
      <c r="U45" s="17"/>
      <c r="V45" s="17"/>
      <c r="W45" s="17">
        <f>306457.77</f>
        <v>306457.77</v>
      </c>
      <c r="X45" s="17"/>
      <c r="Y45" s="17"/>
      <c r="Z45" s="17"/>
      <c r="AA45" s="17"/>
      <c r="AB45" s="52">
        <f>16935.43</f>
        <v>16935.43</v>
      </c>
      <c r="AC45" s="52"/>
    </row>
    <row r="46" spans="1:29" s="1" customFormat="1" ht="13.5" customHeight="1">
      <c r="A46" s="14" t="s">
        <v>93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92</v>
      </c>
      <c r="M46" s="15"/>
      <c r="N46" s="15"/>
      <c r="O46" s="15" t="s">
        <v>102</v>
      </c>
      <c r="P46" s="15"/>
      <c r="Q46" s="15"/>
      <c r="R46" s="23" t="s">
        <v>95</v>
      </c>
      <c r="S46" s="23"/>
      <c r="T46" s="17">
        <f>2233234.34</f>
        <v>2233234.34</v>
      </c>
      <c r="U46" s="17"/>
      <c r="V46" s="17"/>
      <c r="W46" s="17">
        <f>2189408.82</f>
        <v>2189408.82</v>
      </c>
      <c r="X46" s="17"/>
      <c r="Y46" s="17"/>
      <c r="Z46" s="17"/>
      <c r="AA46" s="17"/>
      <c r="AB46" s="52">
        <f>43825.52</f>
        <v>43825.52</v>
      </c>
      <c r="AC46" s="52"/>
    </row>
    <row r="47" spans="1:29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92</v>
      </c>
      <c r="M47" s="15"/>
      <c r="N47" s="15"/>
      <c r="O47" s="15" t="s">
        <v>102</v>
      </c>
      <c r="P47" s="15"/>
      <c r="Q47" s="15"/>
      <c r="R47" s="23" t="s">
        <v>104</v>
      </c>
      <c r="S47" s="23"/>
      <c r="T47" s="17">
        <f>11630.86</f>
        <v>11630.86</v>
      </c>
      <c r="U47" s="17"/>
      <c r="V47" s="17"/>
      <c r="W47" s="17">
        <f>11630.86</f>
        <v>11630.86</v>
      </c>
      <c r="X47" s="17"/>
      <c r="Y47" s="17"/>
      <c r="Z47" s="17"/>
      <c r="AA47" s="17"/>
      <c r="AB47" s="52">
        <f>0</f>
        <v>0</v>
      </c>
      <c r="AC47" s="52"/>
    </row>
    <row r="48" spans="1:29" s="1" customFormat="1" ht="13.5" customHeight="1">
      <c r="A48" s="14" t="s">
        <v>96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92</v>
      </c>
      <c r="M48" s="15"/>
      <c r="N48" s="15"/>
      <c r="O48" s="15" t="s">
        <v>105</v>
      </c>
      <c r="P48" s="15"/>
      <c r="Q48" s="15"/>
      <c r="R48" s="23" t="s">
        <v>98</v>
      </c>
      <c r="S48" s="23"/>
      <c r="T48" s="17">
        <f>295000</f>
        <v>295000</v>
      </c>
      <c r="U48" s="17"/>
      <c r="V48" s="17"/>
      <c r="W48" s="17">
        <f>295000</f>
        <v>295000</v>
      </c>
      <c r="X48" s="17"/>
      <c r="Y48" s="17"/>
      <c r="Z48" s="17"/>
      <c r="AA48" s="17"/>
      <c r="AB48" s="52">
        <f>0</f>
        <v>0</v>
      </c>
      <c r="AC48" s="52"/>
    </row>
    <row r="49" spans="1:29" s="1" customFormat="1" ht="13.5" customHeight="1">
      <c r="A49" s="14" t="s">
        <v>106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92</v>
      </c>
      <c r="M49" s="15"/>
      <c r="N49" s="15"/>
      <c r="O49" s="15" t="s">
        <v>105</v>
      </c>
      <c r="P49" s="15"/>
      <c r="Q49" s="15"/>
      <c r="R49" s="23" t="s">
        <v>107</v>
      </c>
      <c r="S49" s="23"/>
      <c r="T49" s="17">
        <f>49908.97</f>
        <v>49908.97</v>
      </c>
      <c r="U49" s="17"/>
      <c r="V49" s="17"/>
      <c r="W49" s="17">
        <f>49908.97</f>
        <v>49908.97</v>
      </c>
      <c r="X49" s="17"/>
      <c r="Y49" s="17"/>
      <c r="Z49" s="17"/>
      <c r="AA49" s="17"/>
      <c r="AB49" s="52">
        <f>0</f>
        <v>0</v>
      </c>
      <c r="AC49" s="52"/>
    </row>
    <row r="50" spans="1:29" s="1" customFormat="1" ht="13.5" customHeight="1">
      <c r="A50" s="14" t="s">
        <v>99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92</v>
      </c>
      <c r="M50" s="15"/>
      <c r="N50" s="15"/>
      <c r="O50" s="15" t="s">
        <v>108</v>
      </c>
      <c r="P50" s="15"/>
      <c r="Q50" s="15"/>
      <c r="R50" s="23" t="s">
        <v>101</v>
      </c>
      <c r="S50" s="23"/>
      <c r="T50" s="17">
        <f>790551.01</f>
        <v>790551.01</v>
      </c>
      <c r="U50" s="17"/>
      <c r="V50" s="17"/>
      <c r="W50" s="17">
        <f>752320.48</f>
        <v>752320.48</v>
      </c>
      <c r="X50" s="17"/>
      <c r="Y50" s="17"/>
      <c r="Z50" s="17"/>
      <c r="AA50" s="17"/>
      <c r="AB50" s="52">
        <f>38230.53</f>
        <v>38230.53</v>
      </c>
      <c r="AC50" s="52"/>
    </row>
    <row r="51" spans="1:29" s="1" customFormat="1" ht="13.5" customHeight="1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92</v>
      </c>
      <c r="M51" s="15"/>
      <c r="N51" s="15"/>
      <c r="O51" s="15" t="s">
        <v>109</v>
      </c>
      <c r="P51" s="15"/>
      <c r="Q51" s="15"/>
      <c r="R51" s="23" t="s">
        <v>95</v>
      </c>
      <c r="S51" s="23"/>
      <c r="T51" s="17">
        <f>824619.66</f>
        <v>824619.66</v>
      </c>
      <c r="U51" s="17"/>
      <c r="V51" s="17"/>
      <c r="W51" s="17">
        <f>824619.66</f>
        <v>824619.66</v>
      </c>
      <c r="X51" s="17"/>
      <c r="Y51" s="17"/>
      <c r="Z51" s="17"/>
      <c r="AA51" s="17"/>
      <c r="AB51" s="52">
        <f>0</f>
        <v>0</v>
      </c>
      <c r="AC51" s="52"/>
    </row>
    <row r="52" spans="1:29" s="1" customFormat="1" ht="13.5" customHeight="1">
      <c r="A52" s="14" t="s">
        <v>96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92</v>
      </c>
      <c r="M52" s="15"/>
      <c r="N52" s="15"/>
      <c r="O52" s="15" t="s">
        <v>110</v>
      </c>
      <c r="P52" s="15"/>
      <c r="Q52" s="15"/>
      <c r="R52" s="23" t="s">
        <v>98</v>
      </c>
      <c r="S52" s="23"/>
      <c r="T52" s="17">
        <f>65000</f>
        <v>65000</v>
      </c>
      <c r="U52" s="17"/>
      <c r="V52" s="17"/>
      <c r="W52" s="17">
        <f>65000</f>
        <v>65000</v>
      </c>
      <c r="X52" s="17"/>
      <c r="Y52" s="17"/>
      <c r="Z52" s="17"/>
      <c r="AA52" s="17"/>
      <c r="AB52" s="52">
        <f>0</f>
        <v>0</v>
      </c>
      <c r="AC52" s="52"/>
    </row>
    <row r="53" spans="1:29" s="1" customFormat="1" ht="13.5" customHeight="1">
      <c r="A53" s="14" t="s">
        <v>99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92</v>
      </c>
      <c r="M53" s="15"/>
      <c r="N53" s="15"/>
      <c r="O53" s="15" t="s">
        <v>111</v>
      </c>
      <c r="P53" s="15"/>
      <c r="Q53" s="15"/>
      <c r="R53" s="23" t="s">
        <v>101</v>
      </c>
      <c r="S53" s="23"/>
      <c r="T53" s="17">
        <f>265766.05</f>
        <v>265766.05</v>
      </c>
      <c r="U53" s="17"/>
      <c r="V53" s="17"/>
      <c r="W53" s="17">
        <f>265766.05</f>
        <v>265766.05</v>
      </c>
      <c r="X53" s="17"/>
      <c r="Y53" s="17"/>
      <c r="Z53" s="17"/>
      <c r="AA53" s="17"/>
      <c r="AB53" s="52">
        <f>0</f>
        <v>0</v>
      </c>
      <c r="AC53" s="52"/>
    </row>
    <row r="54" spans="1:29" s="1" customFormat="1" ht="13.5" customHeight="1">
      <c r="A54" s="14" t="s">
        <v>112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92</v>
      </c>
      <c r="M54" s="15"/>
      <c r="N54" s="15"/>
      <c r="O54" s="15" t="s">
        <v>113</v>
      </c>
      <c r="P54" s="15"/>
      <c r="Q54" s="15"/>
      <c r="R54" s="23" t="s">
        <v>92</v>
      </c>
      <c r="S54" s="23"/>
      <c r="T54" s="17">
        <f>91000</f>
        <v>91000</v>
      </c>
      <c r="U54" s="17"/>
      <c r="V54" s="17"/>
      <c r="W54" s="21" t="s">
        <v>40</v>
      </c>
      <c r="X54" s="21"/>
      <c r="Y54" s="21"/>
      <c r="Z54" s="21"/>
      <c r="AA54" s="21"/>
      <c r="AB54" s="52">
        <f>91000</f>
        <v>91000</v>
      </c>
      <c r="AC54" s="52"/>
    </row>
    <row r="55" spans="1:29" s="1" customFormat="1" ht="13.5" customHeight="1">
      <c r="A55" s="14" t="s">
        <v>93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92</v>
      </c>
      <c r="M55" s="15"/>
      <c r="N55" s="15"/>
      <c r="O55" s="15" t="s">
        <v>114</v>
      </c>
      <c r="P55" s="15"/>
      <c r="Q55" s="15"/>
      <c r="R55" s="23" t="s">
        <v>95</v>
      </c>
      <c r="S55" s="23"/>
      <c r="T55" s="17">
        <f>3809024.12</f>
        <v>3809024.12</v>
      </c>
      <c r="U55" s="17"/>
      <c r="V55" s="17"/>
      <c r="W55" s="17">
        <f>2994812.47</f>
        <v>2994812.47</v>
      </c>
      <c r="X55" s="17"/>
      <c r="Y55" s="17"/>
      <c r="Z55" s="17"/>
      <c r="AA55" s="17"/>
      <c r="AB55" s="52">
        <f>814211.65</f>
        <v>814211.65</v>
      </c>
      <c r="AC55" s="52"/>
    </row>
    <row r="56" spans="1:29" s="1" customFormat="1" ht="13.5" customHeight="1">
      <c r="A56" s="14" t="s">
        <v>103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92</v>
      </c>
      <c r="M56" s="15"/>
      <c r="N56" s="15"/>
      <c r="O56" s="15" t="s">
        <v>114</v>
      </c>
      <c r="P56" s="15"/>
      <c r="Q56" s="15"/>
      <c r="R56" s="23" t="s">
        <v>104</v>
      </c>
      <c r="S56" s="23"/>
      <c r="T56" s="17">
        <f>10000</f>
        <v>10000</v>
      </c>
      <c r="U56" s="17"/>
      <c r="V56" s="17"/>
      <c r="W56" s="17">
        <f>9814.59</f>
        <v>9814.59</v>
      </c>
      <c r="X56" s="17"/>
      <c r="Y56" s="17"/>
      <c r="Z56" s="17"/>
      <c r="AA56" s="17"/>
      <c r="AB56" s="52">
        <f>185.41</f>
        <v>185.41</v>
      </c>
      <c r="AC56" s="52"/>
    </row>
    <row r="57" spans="1:29" s="1" customFormat="1" ht="13.5" customHeight="1">
      <c r="A57" s="14" t="s">
        <v>96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92</v>
      </c>
      <c r="M57" s="15"/>
      <c r="N57" s="15"/>
      <c r="O57" s="15" t="s">
        <v>115</v>
      </c>
      <c r="P57" s="15"/>
      <c r="Q57" s="15"/>
      <c r="R57" s="23" t="s">
        <v>98</v>
      </c>
      <c r="S57" s="23"/>
      <c r="T57" s="17">
        <f>15000</f>
        <v>15000</v>
      </c>
      <c r="U57" s="17"/>
      <c r="V57" s="17"/>
      <c r="W57" s="17">
        <f>15000</f>
        <v>15000</v>
      </c>
      <c r="X57" s="17"/>
      <c r="Y57" s="17"/>
      <c r="Z57" s="17"/>
      <c r="AA57" s="17"/>
      <c r="AB57" s="52">
        <f>0</f>
        <v>0</v>
      </c>
      <c r="AC57" s="52"/>
    </row>
    <row r="58" spans="1:29" s="1" customFormat="1" ht="13.5" customHeight="1">
      <c r="A58" s="14" t="s">
        <v>106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92</v>
      </c>
      <c r="M58" s="15"/>
      <c r="N58" s="15"/>
      <c r="O58" s="15" t="s">
        <v>115</v>
      </c>
      <c r="P58" s="15"/>
      <c r="Q58" s="15"/>
      <c r="R58" s="23" t="s">
        <v>107</v>
      </c>
      <c r="S58" s="23"/>
      <c r="T58" s="17">
        <f>136753.22</f>
        <v>136753.22</v>
      </c>
      <c r="U58" s="17"/>
      <c r="V58" s="17"/>
      <c r="W58" s="17">
        <f>136753.22</f>
        <v>136753.22</v>
      </c>
      <c r="X58" s="17"/>
      <c r="Y58" s="17"/>
      <c r="Z58" s="17"/>
      <c r="AA58" s="17"/>
      <c r="AB58" s="52">
        <f>0</f>
        <v>0</v>
      </c>
      <c r="AC58" s="52"/>
    </row>
    <row r="59" spans="1:29" s="1" customFormat="1" ht="13.5" customHeight="1">
      <c r="A59" s="14" t="s">
        <v>99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92</v>
      </c>
      <c r="M59" s="15"/>
      <c r="N59" s="15"/>
      <c r="O59" s="15" t="s">
        <v>116</v>
      </c>
      <c r="P59" s="15"/>
      <c r="Q59" s="15"/>
      <c r="R59" s="23" t="s">
        <v>101</v>
      </c>
      <c r="S59" s="23"/>
      <c r="T59" s="17">
        <f>1137090.8</f>
        <v>1137090.8</v>
      </c>
      <c r="U59" s="17"/>
      <c r="V59" s="17"/>
      <c r="W59" s="17">
        <f>1122215.64</f>
        <v>1122215.64</v>
      </c>
      <c r="X59" s="17"/>
      <c r="Y59" s="17"/>
      <c r="Z59" s="17"/>
      <c r="AA59" s="17"/>
      <c r="AB59" s="52">
        <f>14875.16</f>
        <v>14875.16</v>
      </c>
      <c r="AC59" s="52"/>
    </row>
    <row r="60" spans="1:29" s="1" customFormat="1" ht="13.5" customHeight="1">
      <c r="A60" s="14" t="s">
        <v>117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92</v>
      </c>
      <c r="M60" s="15"/>
      <c r="N60" s="15"/>
      <c r="O60" s="15" t="s">
        <v>118</v>
      </c>
      <c r="P60" s="15"/>
      <c r="Q60" s="15"/>
      <c r="R60" s="23" t="s">
        <v>119</v>
      </c>
      <c r="S60" s="23"/>
      <c r="T60" s="17">
        <f>85139.32</f>
        <v>85139.32</v>
      </c>
      <c r="U60" s="17"/>
      <c r="V60" s="17"/>
      <c r="W60" s="17">
        <f>66433.29</f>
        <v>66433.29</v>
      </c>
      <c r="X60" s="17"/>
      <c r="Y60" s="17"/>
      <c r="Z60" s="17"/>
      <c r="AA60" s="17"/>
      <c r="AB60" s="52">
        <f>18706.03</f>
        <v>18706.03</v>
      </c>
      <c r="AC60" s="52"/>
    </row>
    <row r="61" spans="1:29" s="1" customFormat="1" ht="13.5" customHeight="1">
      <c r="A61" s="14" t="s">
        <v>120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92</v>
      </c>
      <c r="M61" s="15"/>
      <c r="N61" s="15"/>
      <c r="O61" s="15" t="s">
        <v>118</v>
      </c>
      <c r="P61" s="15"/>
      <c r="Q61" s="15"/>
      <c r="R61" s="23" t="s">
        <v>121</v>
      </c>
      <c r="S61" s="23"/>
      <c r="T61" s="17">
        <f>79000</f>
        <v>79000</v>
      </c>
      <c r="U61" s="17"/>
      <c r="V61" s="17"/>
      <c r="W61" s="17">
        <f>45717.39</f>
        <v>45717.39</v>
      </c>
      <c r="X61" s="17"/>
      <c r="Y61" s="17"/>
      <c r="Z61" s="17"/>
      <c r="AA61" s="17"/>
      <c r="AB61" s="52">
        <f>33282.61</f>
        <v>33282.61</v>
      </c>
      <c r="AC61" s="52"/>
    </row>
    <row r="62" spans="1:29" s="1" customFormat="1" ht="13.5" customHeight="1">
      <c r="A62" s="14" t="s">
        <v>122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92</v>
      </c>
      <c r="M62" s="15"/>
      <c r="N62" s="15"/>
      <c r="O62" s="15" t="s">
        <v>118</v>
      </c>
      <c r="P62" s="15"/>
      <c r="Q62" s="15"/>
      <c r="R62" s="23" t="s">
        <v>123</v>
      </c>
      <c r="S62" s="23"/>
      <c r="T62" s="17">
        <f>104660.68</f>
        <v>104660.68</v>
      </c>
      <c r="U62" s="17"/>
      <c r="V62" s="17"/>
      <c r="W62" s="17">
        <f>68726</f>
        <v>68726</v>
      </c>
      <c r="X62" s="17"/>
      <c r="Y62" s="17"/>
      <c r="Z62" s="17"/>
      <c r="AA62" s="17"/>
      <c r="AB62" s="52">
        <f>35934.68</f>
        <v>35934.68</v>
      </c>
      <c r="AC62" s="52"/>
    </row>
    <row r="63" spans="1:29" s="1" customFormat="1" ht="13.5" customHeight="1">
      <c r="A63" s="14" t="s">
        <v>117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92</v>
      </c>
      <c r="M63" s="15"/>
      <c r="N63" s="15"/>
      <c r="O63" s="15" t="s">
        <v>124</v>
      </c>
      <c r="P63" s="15"/>
      <c r="Q63" s="15"/>
      <c r="R63" s="23" t="s">
        <v>119</v>
      </c>
      <c r="S63" s="23"/>
      <c r="T63" s="17">
        <f>15000</f>
        <v>15000</v>
      </c>
      <c r="U63" s="17"/>
      <c r="V63" s="17"/>
      <c r="W63" s="17">
        <f>15000</f>
        <v>15000</v>
      </c>
      <c r="X63" s="17"/>
      <c r="Y63" s="17"/>
      <c r="Z63" s="17"/>
      <c r="AA63" s="17"/>
      <c r="AB63" s="52">
        <f>0</f>
        <v>0</v>
      </c>
      <c r="AC63" s="52"/>
    </row>
    <row r="64" spans="1:29" s="1" customFormat="1" ht="13.5" customHeight="1">
      <c r="A64" s="14" t="s">
        <v>125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92</v>
      </c>
      <c r="M64" s="15"/>
      <c r="N64" s="15"/>
      <c r="O64" s="15" t="s">
        <v>124</v>
      </c>
      <c r="P64" s="15"/>
      <c r="Q64" s="15"/>
      <c r="R64" s="23" t="s">
        <v>126</v>
      </c>
      <c r="S64" s="23"/>
      <c r="T64" s="17">
        <f>58411</f>
        <v>58411</v>
      </c>
      <c r="U64" s="17"/>
      <c r="V64" s="17"/>
      <c r="W64" s="17">
        <f>58411</f>
        <v>58411</v>
      </c>
      <c r="X64" s="17"/>
      <c r="Y64" s="17"/>
      <c r="Z64" s="17"/>
      <c r="AA64" s="17"/>
      <c r="AB64" s="52">
        <f>0</f>
        <v>0</v>
      </c>
      <c r="AC64" s="52"/>
    </row>
    <row r="65" spans="1:29" s="1" customFormat="1" ht="13.5" customHeight="1">
      <c r="A65" s="14" t="s">
        <v>127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92</v>
      </c>
      <c r="M65" s="15"/>
      <c r="N65" s="15"/>
      <c r="O65" s="15" t="s">
        <v>124</v>
      </c>
      <c r="P65" s="15"/>
      <c r="Q65" s="15"/>
      <c r="R65" s="23" t="s">
        <v>128</v>
      </c>
      <c r="S65" s="23"/>
      <c r="T65" s="17">
        <f>884692.24</f>
        <v>884692.24</v>
      </c>
      <c r="U65" s="17"/>
      <c r="V65" s="17"/>
      <c r="W65" s="17">
        <f>263926.16</f>
        <v>263926.16</v>
      </c>
      <c r="X65" s="17"/>
      <c r="Y65" s="17"/>
      <c r="Z65" s="17"/>
      <c r="AA65" s="17"/>
      <c r="AB65" s="52">
        <f>620766.08</f>
        <v>620766.08</v>
      </c>
      <c r="AC65" s="52"/>
    </row>
    <row r="66" spans="1:29" s="1" customFormat="1" ht="13.5" customHeight="1">
      <c r="A66" s="14" t="s">
        <v>120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92</v>
      </c>
      <c r="M66" s="15"/>
      <c r="N66" s="15"/>
      <c r="O66" s="15" t="s">
        <v>124</v>
      </c>
      <c r="P66" s="15"/>
      <c r="Q66" s="15"/>
      <c r="R66" s="23" t="s">
        <v>121</v>
      </c>
      <c r="S66" s="23"/>
      <c r="T66" s="17">
        <f>249979.41</f>
        <v>249979.41</v>
      </c>
      <c r="U66" s="17"/>
      <c r="V66" s="17"/>
      <c r="W66" s="17">
        <f>170885.26</f>
        <v>170885.26</v>
      </c>
      <c r="X66" s="17"/>
      <c r="Y66" s="17"/>
      <c r="Z66" s="17"/>
      <c r="AA66" s="17"/>
      <c r="AB66" s="52">
        <f>79094.15</f>
        <v>79094.15</v>
      </c>
      <c r="AC66" s="52"/>
    </row>
    <row r="67" spans="1:29" s="1" customFormat="1" ht="13.5" customHeight="1">
      <c r="A67" s="14" t="s">
        <v>122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92</v>
      </c>
      <c r="M67" s="15"/>
      <c r="N67" s="15"/>
      <c r="O67" s="15" t="s">
        <v>124</v>
      </c>
      <c r="P67" s="15"/>
      <c r="Q67" s="15"/>
      <c r="R67" s="23" t="s">
        <v>123</v>
      </c>
      <c r="S67" s="23"/>
      <c r="T67" s="17">
        <f>14960</f>
        <v>14960</v>
      </c>
      <c r="U67" s="17"/>
      <c r="V67" s="17"/>
      <c r="W67" s="17">
        <f>10136</f>
        <v>10136</v>
      </c>
      <c r="X67" s="17"/>
      <c r="Y67" s="17"/>
      <c r="Z67" s="17"/>
      <c r="AA67" s="17"/>
      <c r="AB67" s="52">
        <f>4824</f>
        <v>4824</v>
      </c>
      <c r="AC67" s="52"/>
    </row>
    <row r="68" spans="1:29" s="1" customFormat="1" ht="13.5" customHeight="1">
      <c r="A68" s="14" t="s">
        <v>129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92</v>
      </c>
      <c r="M68" s="15"/>
      <c r="N68" s="15"/>
      <c r="O68" s="15" t="s">
        <v>124</v>
      </c>
      <c r="P68" s="15"/>
      <c r="Q68" s="15"/>
      <c r="R68" s="23" t="s">
        <v>130</v>
      </c>
      <c r="S68" s="23"/>
      <c r="T68" s="17">
        <f>38684</f>
        <v>38684</v>
      </c>
      <c r="U68" s="17"/>
      <c r="V68" s="17"/>
      <c r="W68" s="17">
        <f>16184.15</f>
        <v>16184.15</v>
      </c>
      <c r="X68" s="17"/>
      <c r="Y68" s="17"/>
      <c r="Z68" s="17"/>
      <c r="AA68" s="17"/>
      <c r="AB68" s="52">
        <f>22499.85</f>
        <v>22499.85</v>
      </c>
      <c r="AC68" s="52"/>
    </row>
    <row r="69" spans="1:29" s="1" customFormat="1" ht="13.5" customHeight="1">
      <c r="A69" s="14" t="s">
        <v>131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92</v>
      </c>
      <c r="M69" s="15"/>
      <c r="N69" s="15"/>
      <c r="O69" s="15" t="s">
        <v>124</v>
      </c>
      <c r="P69" s="15"/>
      <c r="Q69" s="15"/>
      <c r="R69" s="23" t="s">
        <v>132</v>
      </c>
      <c r="S69" s="23"/>
      <c r="T69" s="17">
        <f>304173</f>
        <v>304173</v>
      </c>
      <c r="U69" s="17"/>
      <c r="V69" s="17"/>
      <c r="W69" s="17">
        <f>304173</f>
        <v>304173</v>
      </c>
      <c r="X69" s="17"/>
      <c r="Y69" s="17"/>
      <c r="Z69" s="17"/>
      <c r="AA69" s="17"/>
      <c r="AB69" s="52">
        <f>0</f>
        <v>0</v>
      </c>
      <c r="AC69" s="52"/>
    </row>
    <row r="70" spans="1:29" s="1" customFormat="1" ht="13.5" customHeight="1">
      <c r="A70" s="14" t="s">
        <v>133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92</v>
      </c>
      <c r="M70" s="15"/>
      <c r="N70" s="15"/>
      <c r="O70" s="15" t="s">
        <v>124</v>
      </c>
      <c r="P70" s="15"/>
      <c r="Q70" s="15"/>
      <c r="R70" s="23" t="s">
        <v>134</v>
      </c>
      <c r="S70" s="23"/>
      <c r="T70" s="17">
        <f>856302.46</f>
        <v>856302.46</v>
      </c>
      <c r="U70" s="17"/>
      <c r="V70" s="17"/>
      <c r="W70" s="17">
        <f>428963.14</f>
        <v>428963.14</v>
      </c>
      <c r="X70" s="17"/>
      <c r="Y70" s="17"/>
      <c r="Z70" s="17"/>
      <c r="AA70" s="17"/>
      <c r="AB70" s="52">
        <f>427339.32</f>
        <v>427339.32</v>
      </c>
      <c r="AC70" s="52"/>
    </row>
    <row r="71" spans="1:29" s="1" customFormat="1" ht="13.5" customHeight="1">
      <c r="A71" s="14" t="s">
        <v>135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92</v>
      </c>
      <c r="M71" s="15"/>
      <c r="N71" s="15"/>
      <c r="O71" s="15" t="s">
        <v>124</v>
      </c>
      <c r="P71" s="15"/>
      <c r="Q71" s="15"/>
      <c r="R71" s="23" t="s">
        <v>136</v>
      </c>
      <c r="S71" s="23"/>
      <c r="T71" s="17">
        <f>24862</f>
        <v>24862</v>
      </c>
      <c r="U71" s="17"/>
      <c r="V71" s="17"/>
      <c r="W71" s="17">
        <f>24862</f>
        <v>24862</v>
      </c>
      <c r="X71" s="17"/>
      <c r="Y71" s="17"/>
      <c r="Z71" s="17"/>
      <c r="AA71" s="17"/>
      <c r="AB71" s="52">
        <f>0</f>
        <v>0</v>
      </c>
      <c r="AC71" s="52"/>
    </row>
    <row r="72" spans="1:29" s="1" customFormat="1" ht="13.5" customHeight="1">
      <c r="A72" s="14" t="s">
        <v>137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92</v>
      </c>
      <c r="M72" s="15"/>
      <c r="N72" s="15"/>
      <c r="O72" s="15" t="s">
        <v>124</v>
      </c>
      <c r="P72" s="15"/>
      <c r="Q72" s="15"/>
      <c r="R72" s="23" t="s">
        <v>138</v>
      </c>
      <c r="S72" s="23"/>
      <c r="T72" s="17">
        <f>26070.3</f>
        <v>26070.3</v>
      </c>
      <c r="U72" s="17"/>
      <c r="V72" s="17"/>
      <c r="W72" s="17">
        <f>26070.3</f>
        <v>26070.3</v>
      </c>
      <c r="X72" s="17"/>
      <c r="Y72" s="17"/>
      <c r="Z72" s="17"/>
      <c r="AA72" s="17"/>
      <c r="AB72" s="52">
        <f>0</f>
        <v>0</v>
      </c>
      <c r="AC72" s="52"/>
    </row>
    <row r="73" spans="1:29" s="1" customFormat="1" ht="13.5" customHeight="1">
      <c r="A73" s="14" t="s">
        <v>139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92</v>
      </c>
      <c r="M73" s="15"/>
      <c r="N73" s="15"/>
      <c r="O73" s="15" t="s">
        <v>124</v>
      </c>
      <c r="P73" s="15"/>
      <c r="Q73" s="15"/>
      <c r="R73" s="23" t="s">
        <v>140</v>
      </c>
      <c r="S73" s="23"/>
      <c r="T73" s="17">
        <f>193577.94</f>
        <v>193577.94</v>
      </c>
      <c r="U73" s="17"/>
      <c r="V73" s="17"/>
      <c r="W73" s="17">
        <f>117561.78</f>
        <v>117561.78</v>
      </c>
      <c r="X73" s="17"/>
      <c r="Y73" s="17"/>
      <c r="Z73" s="17"/>
      <c r="AA73" s="17"/>
      <c r="AB73" s="52">
        <f>76016.16</f>
        <v>76016.16</v>
      </c>
      <c r="AC73" s="52"/>
    </row>
    <row r="74" spans="1:29" s="1" customFormat="1" ht="24" customHeight="1">
      <c r="A74" s="14" t="s">
        <v>141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92</v>
      </c>
      <c r="M74" s="15"/>
      <c r="N74" s="15"/>
      <c r="O74" s="15" t="s">
        <v>124</v>
      </c>
      <c r="P74" s="15"/>
      <c r="Q74" s="15"/>
      <c r="R74" s="23" t="s">
        <v>142</v>
      </c>
      <c r="S74" s="23"/>
      <c r="T74" s="17">
        <f>6600</f>
        <v>6600</v>
      </c>
      <c r="U74" s="17"/>
      <c r="V74" s="17"/>
      <c r="W74" s="17">
        <f>6600</f>
        <v>6600</v>
      </c>
      <c r="X74" s="17"/>
      <c r="Y74" s="17"/>
      <c r="Z74" s="17"/>
      <c r="AA74" s="17"/>
      <c r="AB74" s="52">
        <f>0</f>
        <v>0</v>
      </c>
      <c r="AC74" s="52"/>
    </row>
    <row r="75" spans="1:29" s="1" customFormat="1" ht="13.5" customHeight="1">
      <c r="A75" s="14" t="s">
        <v>143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92</v>
      </c>
      <c r="M75" s="15"/>
      <c r="N75" s="15"/>
      <c r="O75" s="15" t="s">
        <v>144</v>
      </c>
      <c r="P75" s="15"/>
      <c r="Q75" s="15"/>
      <c r="R75" s="23" t="s">
        <v>145</v>
      </c>
      <c r="S75" s="23"/>
      <c r="T75" s="17">
        <f>32236</f>
        <v>32236</v>
      </c>
      <c r="U75" s="17"/>
      <c r="V75" s="17"/>
      <c r="W75" s="17">
        <f>19400</f>
        <v>19400</v>
      </c>
      <c r="X75" s="17"/>
      <c r="Y75" s="17"/>
      <c r="Z75" s="17"/>
      <c r="AA75" s="17"/>
      <c r="AB75" s="52">
        <f>12836</f>
        <v>12836</v>
      </c>
      <c r="AC75" s="52"/>
    </row>
    <row r="76" spans="1:29" s="1" customFormat="1" ht="13.5" customHeight="1">
      <c r="A76" s="14" t="s">
        <v>131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92</v>
      </c>
      <c r="M76" s="15"/>
      <c r="N76" s="15"/>
      <c r="O76" s="15" t="s">
        <v>146</v>
      </c>
      <c r="P76" s="15"/>
      <c r="Q76" s="15"/>
      <c r="R76" s="23" t="s">
        <v>132</v>
      </c>
      <c r="S76" s="23"/>
      <c r="T76" s="17">
        <f>26570</f>
        <v>26570</v>
      </c>
      <c r="U76" s="17"/>
      <c r="V76" s="17"/>
      <c r="W76" s="17">
        <f>26570</f>
        <v>26570</v>
      </c>
      <c r="X76" s="17"/>
      <c r="Y76" s="17"/>
      <c r="Z76" s="17"/>
      <c r="AA76" s="17"/>
      <c r="AB76" s="52">
        <f aca="true" t="shared" si="0" ref="AB76:AB88">0</f>
        <v>0</v>
      </c>
      <c r="AC76" s="52"/>
    </row>
    <row r="77" spans="1:29" s="1" customFormat="1" ht="13.5" customHeight="1">
      <c r="A77" s="14" t="s">
        <v>139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92</v>
      </c>
      <c r="M77" s="15"/>
      <c r="N77" s="15"/>
      <c r="O77" s="15" t="s">
        <v>146</v>
      </c>
      <c r="P77" s="15"/>
      <c r="Q77" s="15"/>
      <c r="R77" s="23" t="s">
        <v>140</v>
      </c>
      <c r="S77" s="23"/>
      <c r="T77" s="17">
        <f>11480</f>
        <v>11480</v>
      </c>
      <c r="U77" s="17"/>
      <c r="V77" s="17"/>
      <c r="W77" s="17">
        <f>11480</f>
        <v>11480</v>
      </c>
      <c r="X77" s="17"/>
      <c r="Y77" s="17"/>
      <c r="Z77" s="17"/>
      <c r="AA77" s="17"/>
      <c r="AB77" s="52">
        <f t="shared" si="0"/>
        <v>0</v>
      </c>
      <c r="AC77" s="52"/>
    </row>
    <row r="78" spans="1:29" s="1" customFormat="1" ht="13.5" customHeight="1">
      <c r="A78" s="14" t="s">
        <v>93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92</v>
      </c>
      <c r="M78" s="15"/>
      <c r="N78" s="15"/>
      <c r="O78" s="15" t="s">
        <v>147</v>
      </c>
      <c r="P78" s="15"/>
      <c r="Q78" s="15"/>
      <c r="R78" s="23" t="s">
        <v>95</v>
      </c>
      <c r="S78" s="23"/>
      <c r="T78" s="17">
        <f>1377546.35</f>
        <v>1377546.35</v>
      </c>
      <c r="U78" s="17"/>
      <c r="V78" s="17"/>
      <c r="W78" s="17">
        <f>1377546.35</f>
        <v>1377546.35</v>
      </c>
      <c r="X78" s="17"/>
      <c r="Y78" s="17"/>
      <c r="Z78" s="17"/>
      <c r="AA78" s="17"/>
      <c r="AB78" s="52">
        <f t="shared" si="0"/>
        <v>0</v>
      </c>
      <c r="AC78" s="52"/>
    </row>
    <row r="79" spans="1:29" s="1" customFormat="1" ht="13.5" customHeight="1">
      <c r="A79" s="14" t="s">
        <v>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92</v>
      </c>
      <c r="M79" s="15"/>
      <c r="N79" s="15"/>
      <c r="O79" s="15" t="s">
        <v>148</v>
      </c>
      <c r="P79" s="15"/>
      <c r="Q79" s="15"/>
      <c r="R79" s="23" t="s">
        <v>101</v>
      </c>
      <c r="S79" s="23"/>
      <c r="T79" s="17">
        <f>400909.2</f>
        <v>400909.2</v>
      </c>
      <c r="U79" s="17"/>
      <c r="V79" s="17"/>
      <c r="W79" s="17">
        <f>400909.2</f>
        <v>400909.2</v>
      </c>
      <c r="X79" s="17"/>
      <c r="Y79" s="17"/>
      <c r="Z79" s="17"/>
      <c r="AA79" s="17"/>
      <c r="AB79" s="52">
        <f t="shared" si="0"/>
        <v>0</v>
      </c>
      <c r="AC79" s="52"/>
    </row>
    <row r="80" spans="1:29" s="1" customFormat="1" ht="13.5" customHeight="1">
      <c r="A80" s="14" t="s">
        <v>117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92</v>
      </c>
      <c r="M80" s="15"/>
      <c r="N80" s="15"/>
      <c r="O80" s="15" t="s">
        <v>149</v>
      </c>
      <c r="P80" s="15"/>
      <c r="Q80" s="15"/>
      <c r="R80" s="23" t="s">
        <v>119</v>
      </c>
      <c r="S80" s="23"/>
      <c r="T80" s="17">
        <f>23860.68</f>
        <v>23860.68</v>
      </c>
      <c r="U80" s="17"/>
      <c r="V80" s="17"/>
      <c r="W80" s="17">
        <f>23860.68</f>
        <v>23860.68</v>
      </c>
      <c r="X80" s="17"/>
      <c r="Y80" s="17"/>
      <c r="Z80" s="17"/>
      <c r="AA80" s="17"/>
      <c r="AB80" s="52">
        <f t="shared" si="0"/>
        <v>0</v>
      </c>
      <c r="AC80" s="52"/>
    </row>
    <row r="81" spans="1:29" s="1" customFormat="1" ht="13.5" customHeight="1">
      <c r="A81" s="14" t="s">
        <v>122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92</v>
      </c>
      <c r="M81" s="15"/>
      <c r="N81" s="15"/>
      <c r="O81" s="15" t="s">
        <v>149</v>
      </c>
      <c r="P81" s="15"/>
      <c r="Q81" s="15"/>
      <c r="R81" s="23" t="s">
        <v>123</v>
      </c>
      <c r="S81" s="23"/>
      <c r="T81" s="17">
        <f>43018.4</f>
        <v>43018.4</v>
      </c>
      <c r="U81" s="17"/>
      <c r="V81" s="17"/>
      <c r="W81" s="17">
        <f>43018.4</f>
        <v>43018.4</v>
      </c>
      <c r="X81" s="17"/>
      <c r="Y81" s="17"/>
      <c r="Z81" s="17"/>
      <c r="AA81" s="17"/>
      <c r="AB81" s="52">
        <f t="shared" si="0"/>
        <v>0</v>
      </c>
      <c r="AC81" s="52"/>
    </row>
    <row r="82" spans="1:29" s="1" customFormat="1" ht="13.5" customHeight="1">
      <c r="A82" s="14" t="s">
        <v>127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92</v>
      </c>
      <c r="M82" s="15"/>
      <c r="N82" s="15"/>
      <c r="O82" s="15" t="s">
        <v>150</v>
      </c>
      <c r="P82" s="15"/>
      <c r="Q82" s="15"/>
      <c r="R82" s="23" t="s">
        <v>128</v>
      </c>
      <c r="S82" s="23"/>
      <c r="T82" s="17">
        <f>86973.62</f>
        <v>86973.62</v>
      </c>
      <c r="U82" s="17"/>
      <c r="V82" s="17"/>
      <c r="W82" s="17">
        <f>86973.62</f>
        <v>86973.62</v>
      </c>
      <c r="X82" s="17"/>
      <c r="Y82" s="17"/>
      <c r="Z82" s="17"/>
      <c r="AA82" s="17"/>
      <c r="AB82" s="52">
        <f t="shared" si="0"/>
        <v>0</v>
      </c>
      <c r="AC82" s="52"/>
    </row>
    <row r="83" spans="1:29" s="1" customFormat="1" ht="13.5" customHeight="1">
      <c r="A83" s="14" t="s">
        <v>120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92</v>
      </c>
      <c r="M83" s="15"/>
      <c r="N83" s="15"/>
      <c r="O83" s="15" t="s">
        <v>150</v>
      </c>
      <c r="P83" s="15"/>
      <c r="Q83" s="15"/>
      <c r="R83" s="23" t="s">
        <v>121</v>
      </c>
      <c r="S83" s="23"/>
      <c r="T83" s="17">
        <f>16863.89</f>
        <v>16863.89</v>
      </c>
      <c r="U83" s="17"/>
      <c r="V83" s="17"/>
      <c r="W83" s="17">
        <f>16863.89</f>
        <v>16863.89</v>
      </c>
      <c r="X83" s="17"/>
      <c r="Y83" s="17"/>
      <c r="Z83" s="17"/>
      <c r="AA83" s="17"/>
      <c r="AB83" s="52">
        <f t="shared" si="0"/>
        <v>0</v>
      </c>
      <c r="AC83" s="52"/>
    </row>
    <row r="84" spans="1:29" s="1" customFormat="1" ht="13.5" customHeight="1">
      <c r="A84" s="14" t="s">
        <v>122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92</v>
      </c>
      <c r="M84" s="15"/>
      <c r="N84" s="15"/>
      <c r="O84" s="15" t="s">
        <v>150</v>
      </c>
      <c r="P84" s="15"/>
      <c r="Q84" s="15"/>
      <c r="R84" s="23" t="s">
        <v>123</v>
      </c>
      <c r="S84" s="23"/>
      <c r="T84" s="17">
        <f>3500</f>
        <v>3500</v>
      </c>
      <c r="U84" s="17"/>
      <c r="V84" s="17"/>
      <c r="W84" s="17">
        <f>3500</f>
        <v>3500</v>
      </c>
      <c r="X84" s="17"/>
      <c r="Y84" s="17"/>
      <c r="Z84" s="17"/>
      <c r="AA84" s="17"/>
      <c r="AB84" s="52">
        <f t="shared" si="0"/>
        <v>0</v>
      </c>
      <c r="AC84" s="52"/>
    </row>
    <row r="85" spans="1:29" s="1" customFormat="1" ht="13.5" customHeight="1">
      <c r="A85" s="14" t="s">
        <v>131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92</v>
      </c>
      <c r="M85" s="15"/>
      <c r="N85" s="15"/>
      <c r="O85" s="15" t="s">
        <v>150</v>
      </c>
      <c r="P85" s="15"/>
      <c r="Q85" s="15"/>
      <c r="R85" s="23" t="s">
        <v>132</v>
      </c>
      <c r="S85" s="23"/>
      <c r="T85" s="17">
        <f>30199</f>
        <v>30199</v>
      </c>
      <c r="U85" s="17"/>
      <c r="V85" s="17"/>
      <c r="W85" s="17">
        <f>30199</f>
        <v>30199</v>
      </c>
      <c r="X85" s="17"/>
      <c r="Y85" s="17"/>
      <c r="Z85" s="17"/>
      <c r="AA85" s="17"/>
      <c r="AB85" s="52">
        <f t="shared" si="0"/>
        <v>0</v>
      </c>
      <c r="AC85" s="52"/>
    </row>
    <row r="86" spans="1:29" s="1" customFormat="1" ht="13.5" customHeight="1">
      <c r="A86" s="14" t="s">
        <v>139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92</v>
      </c>
      <c r="M86" s="15"/>
      <c r="N86" s="15"/>
      <c r="O86" s="15" t="s">
        <v>150</v>
      </c>
      <c r="P86" s="15"/>
      <c r="Q86" s="15"/>
      <c r="R86" s="23" t="s">
        <v>140</v>
      </c>
      <c r="S86" s="23"/>
      <c r="T86" s="17">
        <f>41460.06</f>
        <v>41460.06</v>
      </c>
      <c r="U86" s="17"/>
      <c r="V86" s="17"/>
      <c r="W86" s="17">
        <f>41460.06</f>
        <v>41460.06</v>
      </c>
      <c r="X86" s="17"/>
      <c r="Y86" s="17"/>
      <c r="Z86" s="17"/>
      <c r="AA86" s="17"/>
      <c r="AB86" s="52">
        <f t="shared" si="0"/>
        <v>0</v>
      </c>
      <c r="AC86" s="52"/>
    </row>
    <row r="87" spans="1:29" s="1" customFormat="1" ht="13.5" customHeight="1">
      <c r="A87" s="14" t="s">
        <v>143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92</v>
      </c>
      <c r="M87" s="15"/>
      <c r="N87" s="15"/>
      <c r="O87" s="15" t="s">
        <v>151</v>
      </c>
      <c r="P87" s="15"/>
      <c r="Q87" s="15"/>
      <c r="R87" s="23" t="s">
        <v>145</v>
      </c>
      <c r="S87" s="23"/>
      <c r="T87" s="17">
        <f>1300</f>
        <v>1300</v>
      </c>
      <c r="U87" s="17"/>
      <c r="V87" s="17"/>
      <c r="W87" s="17">
        <f>1300</f>
        <v>1300</v>
      </c>
      <c r="X87" s="17"/>
      <c r="Y87" s="17"/>
      <c r="Z87" s="17"/>
      <c r="AA87" s="17"/>
      <c r="AB87" s="52">
        <f t="shared" si="0"/>
        <v>0</v>
      </c>
      <c r="AC87" s="52"/>
    </row>
    <row r="88" spans="1:29" s="1" customFormat="1" ht="13.5" customHeight="1">
      <c r="A88" s="14" t="s">
        <v>152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92</v>
      </c>
      <c r="M88" s="15"/>
      <c r="N88" s="15"/>
      <c r="O88" s="15" t="s">
        <v>153</v>
      </c>
      <c r="P88" s="15"/>
      <c r="Q88" s="15"/>
      <c r="R88" s="23" t="s">
        <v>154</v>
      </c>
      <c r="S88" s="23"/>
      <c r="T88" s="17">
        <f>15000</f>
        <v>15000</v>
      </c>
      <c r="U88" s="17"/>
      <c r="V88" s="17"/>
      <c r="W88" s="17">
        <f>15000</f>
        <v>15000</v>
      </c>
      <c r="X88" s="17"/>
      <c r="Y88" s="17"/>
      <c r="Z88" s="17"/>
      <c r="AA88" s="17"/>
      <c r="AB88" s="52">
        <f t="shared" si="0"/>
        <v>0</v>
      </c>
      <c r="AC88" s="52"/>
    </row>
    <row r="89" spans="1:29" s="1" customFormat="1" ht="13.5" customHeight="1">
      <c r="A89" s="14" t="s">
        <v>93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92</v>
      </c>
      <c r="M89" s="15"/>
      <c r="N89" s="15"/>
      <c r="O89" s="15" t="s">
        <v>155</v>
      </c>
      <c r="P89" s="15"/>
      <c r="Q89" s="15"/>
      <c r="R89" s="23" t="s">
        <v>95</v>
      </c>
      <c r="S89" s="23"/>
      <c r="T89" s="17">
        <f>89650.06</f>
        <v>89650.06</v>
      </c>
      <c r="U89" s="17"/>
      <c r="V89" s="17"/>
      <c r="W89" s="17">
        <f>43695.64</f>
        <v>43695.64</v>
      </c>
      <c r="X89" s="17"/>
      <c r="Y89" s="17"/>
      <c r="Z89" s="17"/>
      <c r="AA89" s="17"/>
      <c r="AB89" s="52">
        <f>45954.42</f>
        <v>45954.42</v>
      </c>
      <c r="AC89" s="52"/>
    </row>
    <row r="90" spans="1:29" s="1" customFormat="1" ht="13.5" customHeight="1">
      <c r="A90" s="14" t="s">
        <v>99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92</v>
      </c>
      <c r="M90" s="15"/>
      <c r="N90" s="15"/>
      <c r="O90" s="15" t="s">
        <v>156</v>
      </c>
      <c r="P90" s="15"/>
      <c r="Q90" s="15"/>
      <c r="R90" s="23" t="s">
        <v>101</v>
      </c>
      <c r="S90" s="23"/>
      <c r="T90" s="17">
        <f>27074.33</f>
        <v>27074.33</v>
      </c>
      <c r="U90" s="17"/>
      <c r="V90" s="17"/>
      <c r="W90" s="17">
        <f>13196.07</f>
        <v>13196.07</v>
      </c>
      <c r="X90" s="17"/>
      <c r="Y90" s="17"/>
      <c r="Z90" s="17"/>
      <c r="AA90" s="17"/>
      <c r="AB90" s="52">
        <f>13878.26</f>
        <v>13878.26</v>
      </c>
      <c r="AC90" s="52"/>
    </row>
    <row r="91" spans="1:29" s="1" customFormat="1" ht="13.5" customHeight="1">
      <c r="A91" s="14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92</v>
      </c>
      <c r="M91" s="15"/>
      <c r="N91" s="15"/>
      <c r="O91" s="15" t="s">
        <v>157</v>
      </c>
      <c r="P91" s="15"/>
      <c r="Q91" s="15"/>
      <c r="R91" s="23" t="s">
        <v>95</v>
      </c>
      <c r="S91" s="23"/>
      <c r="T91" s="17">
        <f>3072.2</f>
        <v>3072.2</v>
      </c>
      <c r="U91" s="17"/>
      <c r="V91" s="17"/>
      <c r="W91" s="17">
        <f>3072.2</f>
        <v>3072.2</v>
      </c>
      <c r="X91" s="17"/>
      <c r="Y91" s="17"/>
      <c r="Z91" s="17"/>
      <c r="AA91" s="17"/>
      <c r="AB91" s="52">
        <f>0</f>
        <v>0</v>
      </c>
      <c r="AC91" s="52"/>
    </row>
    <row r="92" spans="1:29" s="1" customFormat="1" ht="13.5" customHeight="1">
      <c r="A92" s="14" t="s">
        <v>99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92</v>
      </c>
      <c r="M92" s="15"/>
      <c r="N92" s="15"/>
      <c r="O92" s="15" t="s">
        <v>158</v>
      </c>
      <c r="P92" s="15"/>
      <c r="Q92" s="15"/>
      <c r="R92" s="23" t="s">
        <v>101</v>
      </c>
      <c r="S92" s="23"/>
      <c r="T92" s="17">
        <f>927.8</f>
        <v>927.8</v>
      </c>
      <c r="U92" s="17"/>
      <c r="V92" s="17"/>
      <c r="W92" s="17">
        <f>927.8</f>
        <v>927.8</v>
      </c>
      <c r="X92" s="17"/>
      <c r="Y92" s="17"/>
      <c r="Z92" s="17"/>
      <c r="AA92" s="17"/>
      <c r="AB92" s="52">
        <f>0</f>
        <v>0</v>
      </c>
      <c r="AC92" s="52"/>
    </row>
    <row r="93" spans="1:29" s="1" customFormat="1" ht="13.5" customHeight="1">
      <c r="A93" s="14" t="s">
        <v>93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92</v>
      </c>
      <c r="M93" s="15"/>
      <c r="N93" s="15"/>
      <c r="O93" s="15" t="s">
        <v>159</v>
      </c>
      <c r="P93" s="15"/>
      <c r="Q93" s="15"/>
      <c r="R93" s="23" t="s">
        <v>95</v>
      </c>
      <c r="S93" s="23"/>
      <c r="T93" s="17">
        <f>768.05</f>
        <v>768.05</v>
      </c>
      <c r="U93" s="17"/>
      <c r="V93" s="17"/>
      <c r="W93" s="17">
        <f>768.05</f>
        <v>768.05</v>
      </c>
      <c r="X93" s="17"/>
      <c r="Y93" s="17"/>
      <c r="Z93" s="17"/>
      <c r="AA93" s="17"/>
      <c r="AB93" s="52">
        <f>0</f>
        <v>0</v>
      </c>
      <c r="AC93" s="52"/>
    </row>
    <row r="94" spans="1:29" s="1" customFormat="1" ht="13.5" customHeight="1">
      <c r="A94" s="14" t="s">
        <v>99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92</v>
      </c>
      <c r="M94" s="15"/>
      <c r="N94" s="15"/>
      <c r="O94" s="15" t="s">
        <v>160</v>
      </c>
      <c r="P94" s="15"/>
      <c r="Q94" s="15"/>
      <c r="R94" s="23" t="s">
        <v>101</v>
      </c>
      <c r="S94" s="23"/>
      <c r="T94" s="17">
        <f>231.95</f>
        <v>231.95</v>
      </c>
      <c r="U94" s="17"/>
      <c r="V94" s="17"/>
      <c r="W94" s="17">
        <f>231.95</f>
        <v>231.95</v>
      </c>
      <c r="X94" s="17"/>
      <c r="Y94" s="17"/>
      <c r="Z94" s="17"/>
      <c r="AA94" s="17"/>
      <c r="AB94" s="52">
        <f>0</f>
        <v>0</v>
      </c>
      <c r="AC94" s="52"/>
    </row>
    <row r="95" spans="1:29" s="1" customFormat="1" ht="13.5" customHeight="1">
      <c r="A95" s="14" t="s">
        <v>120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92</v>
      </c>
      <c r="M95" s="15"/>
      <c r="N95" s="15"/>
      <c r="O95" s="15" t="s">
        <v>161</v>
      </c>
      <c r="P95" s="15"/>
      <c r="Q95" s="15"/>
      <c r="R95" s="23" t="s">
        <v>121</v>
      </c>
      <c r="S95" s="23"/>
      <c r="T95" s="17">
        <f>78156.7</f>
        <v>78156.7</v>
      </c>
      <c r="U95" s="17"/>
      <c r="V95" s="17"/>
      <c r="W95" s="17">
        <f>78156.7</f>
        <v>78156.7</v>
      </c>
      <c r="X95" s="17"/>
      <c r="Y95" s="17"/>
      <c r="Z95" s="17"/>
      <c r="AA95" s="17"/>
      <c r="AB95" s="52">
        <f>0</f>
        <v>0</v>
      </c>
      <c r="AC95" s="52"/>
    </row>
    <row r="96" spans="1:29" s="1" customFormat="1" ht="24" customHeight="1">
      <c r="A96" s="14" t="s">
        <v>141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92</v>
      </c>
      <c r="M96" s="15"/>
      <c r="N96" s="15"/>
      <c r="O96" s="15" t="s">
        <v>162</v>
      </c>
      <c r="P96" s="15"/>
      <c r="Q96" s="15"/>
      <c r="R96" s="23" t="s">
        <v>142</v>
      </c>
      <c r="S96" s="23"/>
      <c r="T96" s="17">
        <f>5500</f>
        <v>5500</v>
      </c>
      <c r="U96" s="17"/>
      <c r="V96" s="17"/>
      <c r="W96" s="21" t="s">
        <v>40</v>
      </c>
      <c r="X96" s="21"/>
      <c r="Y96" s="21"/>
      <c r="Z96" s="21"/>
      <c r="AA96" s="21"/>
      <c r="AB96" s="52">
        <f>5500</f>
        <v>5500</v>
      </c>
      <c r="AC96" s="52"/>
    </row>
    <row r="97" spans="1:29" s="1" customFormat="1" ht="13.5" customHeight="1">
      <c r="A97" s="14" t="s">
        <v>122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92</v>
      </c>
      <c r="M97" s="15"/>
      <c r="N97" s="15"/>
      <c r="O97" s="15" t="s">
        <v>163</v>
      </c>
      <c r="P97" s="15"/>
      <c r="Q97" s="15"/>
      <c r="R97" s="23" t="s">
        <v>123</v>
      </c>
      <c r="S97" s="23"/>
      <c r="T97" s="17">
        <f>4826.09</f>
        <v>4826.09</v>
      </c>
      <c r="U97" s="17"/>
      <c r="V97" s="17"/>
      <c r="W97" s="17">
        <f>4826.09</f>
        <v>4826.09</v>
      </c>
      <c r="X97" s="17"/>
      <c r="Y97" s="17"/>
      <c r="Z97" s="17"/>
      <c r="AA97" s="17"/>
      <c r="AB97" s="52">
        <f>0</f>
        <v>0</v>
      </c>
      <c r="AC97" s="52"/>
    </row>
    <row r="98" spans="1:29" s="1" customFormat="1" ht="13.5" customHeight="1">
      <c r="A98" s="14" t="s">
        <v>122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92</v>
      </c>
      <c r="M98" s="15"/>
      <c r="N98" s="15"/>
      <c r="O98" s="15" t="s">
        <v>164</v>
      </c>
      <c r="P98" s="15"/>
      <c r="Q98" s="15"/>
      <c r="R98" s="23" t="s">
        <v>123</v>
      </c>
      <c r="S98" s="23"/>
      <c r="T98" s="17">
        <f>4826.09</f>
        <v>4826.09</v>
      </c>
      <c r="U98" s="17"/>
      <c r="V98" s="17"/>
      <c r="W98" s="17">
        <f>4826.09</f>
        <v>4826.09</v>
      </c>
      <c r="X98" s="17"/>
      <c r="Y98" s="17"/>
      <c r="Z98" s="17"/>
      <c r="AA98" s="17"/>
      <c r="AB98" s="52">
        <f>0</f>
        <v>0</v>
      </c>
      <c r="AC98" s="52"/>
    </row>
    <row r="99" spans="1:29" s="1" customFormat="1" ht="24" customHeight="1">
      <c r="A99" s="14" t="s">
        <v>141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92</v>
      </c>
      <c r="M99" s="15"/>
      <c r="N99" s="15"/>
      <c r="O99" s="15" t="s">
        <v>165</v>
      </c>
      <c r="P99" s="15"/>
      <c r="Q99" s="15"/>
      <c r="R99" s="23" t="s">
        <v>142</v>
      </c>
      <c r="S99" s="23"/>
      <c r="T99" s="17">
        <f>10000</f>
        <v>10000</v>
      </c>
      <c r="U99" s="17"/>
      <c r="V99" s="17"/>
      <c r="W99" s="21" t="s">
        <v>40</v>
      </c>
      <c r="X99" s="21"/>
      <c r="Y99" s="21"/>
      <c r="Z99" s="21"/>
      <c r="AA99" s="21"/>
      <c r="AB99" s="52">
        <f>10000</f>
        <v>10000</v>
      </c>
      <c r="AC99" s="52"/>
    </row>
    <row r="100" spans="1:29" s="1" customFormat="1" ht="13.5" customHeight="1">
      <c r="A100" s="14" t="s">
        <v>122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92</v>
      </c>
      <c r="M100" s="15"/>
      <c r="N100" s="15"/>
      <c r="O100" s="15" t="s">
        <v>166</v>
      </c>
      <c r="P100" s="15"/>
      <c r="Q100" s="15"/>
      <c r="R100" s="23" t="s">
        <v>123</v>
      </c>
      <c r="S100" s="23"/>
      <c r="T100" s="17">
        <f>12673</f>
        <v>12673</v>
      </c>
      <c r="U100" s="17"/>
      <c r="V100" s="17"/>
      <c r="W100" s="17">
        <f>12000</f>
        <v>12000</v>
      </c>
      <c r="X100" s="17"/>
      <c r="Y100" s="17"/>
      <c r="Z100" s="17"/>
      <c r="AA100" s="17"/>
      <c r="AB100" s="52">
        <f>673</f>
        <v>673</v>
      </c>
      <c r="AC100" s="52"/>
    </row>
    <row r="101" spans="1:29" s="1" customFormat="1" ht="13.5" customHeight="1">
      <c r="A101" s="14" t="s">
        <v>120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92</v>
      </c>
      <c r="M101" s="15"/>
      <c r="N101" s="15"/>
      <c r="O101" s="15" t="s">
        <v>167</v>
      </c>
      <c r="P101" s="15"/>
      <c r="Q101" s="15"/>
      <c r="R101" s="23" t="s">
        <v>121</v>
      </c>
      <c r="S101" s="23"/>
      <c r="T101" s="17">
        <f>3111074.05</f>
        <v>3111074.05</v>
      </c>
      <c r="U101" s="17"/>
      <c r="V101" s="17"/>
      <c r="W101" s="17">
        <f>2812060.61</f>
        <v>2812060.61</v>
      </c>
      <c r="X101" s="17"/>
      <c r="Y101" s="17"/>
      <c r="Z101" s="17"/>
      <c r="AA101" s="17"/>
      <c r="AB101" s="52">
        <f>299013.44</f>
        <v>299013.44</v>
      </c>
      <c r="AC101" s="52"/>
    </row>
    <row r="102" spans="1:29" s="1" customFormat="1" ht="13.5" customHeight="1">
      <c r="A102" s="14" t="s">
        <v>120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92</v>
      </c>
      <c r="M102" s="15"/>
      <c r="N102" s="15"/>
      <c r="O102" s="15" t="s">
        <v>168</v>
      </c>
      <c r="P102" s="15"/>
      <c r="Q102" s="15"/>
      <c r="R102" s="23" t="s">
        <v>121</v>
      </c>
      <c r="S102" s="23"/>
      <c r="T102" s="17">
        <f>154290</f>
        <v>154290</v>
      </c>
      <c r="U102" s="17"/>
      <c r="V102" s="17"/>
      <c r="W102" s="17">
        <f>153918.1</f>
        <v>153918.1</v>
      </c>
      <c r="X102" s="17"/>
      <c r="Y102" s="17"/>
      <c r="Z102" s="17"/>
      <c r="AA102" s="17"/>
      <c r="AB102" s="52">
        <f>371.9</f>
        <v>371.9</v>
      </c>
      <c r="AC102" s="52"/>
    </row>
    <row r="103" spans="1:29" s="1" customFormat="1" ht="13.5" customHeight="1">
      <c r="A103" s="14" t="s">
        <v>139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92</v>
      </c>
      <c r="M103" s="15"/>
      <c r="N103" s="15"/>
      <c r="O103" s="15" t="s">
        <v>168</v>
      </c>
      <c r="P103" s="15"/>
      <c r="Q103" s="15"/>
      <c r="R103" s="23" t="s">
        <v>140</v>
      </c>
      <c r="S103" s="23"/>
      <c r="T103" s="17">
        <f>150710</f>
        <v>150710</v>
      </c>
      <c r="U103" s="17"/>
      <c r="V103" s="17"/>
      <c r="W103" s="17">
        <f>146910</f>
        <v>146910</v>
      </c>
      <c r="X103" s="17"/>
      <c r="Y103" s="17"/>
      <c r="Z103" s="17"/>
      <c r="AA103" s="17"/>
      <c r="AB103" s="52">
        <f>3800</f>
        <v>3800</v>
      </c>
      <c r="AC103" s="52"/>
    </row>
    <row r="104" spans="1:29" s="1" customFormat="1" ht="13.5" customHeight="1">
      <c r="A104" s="14" t="s">
        <v>122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92</v>
      </c>
      <c r="M104" s="15"/>
      <c r="N104" s="15"/>
      <c r="O104" s="15" t="s">
        <v>169</v>
      </c>
      <c r="P104" s="15"/>
      <c r="Q104" s="15"/>
      <c r="R104" s="23" t="s">
        <v>123</v>
      </c>
      <c r="S104" s="23"/>
      <c r="T104" s="17">
        <f>137720</f>
        <v>137720</v>
      </c>
      <c r="U104" s="17"/>
      <c r="V104" s="17"/>
      <c r="W104" s="17">
        <f>137720</f>
        <v>137720</v>
      </c>
      <c r="X104" s="17"/>
      <c r="Y104" s="17"/>
      <c r="Z104" s="17"/>
      <c r="AA104" s="17"/>
      <c r="AB104" s="52">
        <f>0</f>
        <v>0</v>
      </c>
      <c r="AC104" s="52"/>
    </row>
    <row r="105" spans="1:29" s="1" customFormat="1" ht="13.5" customHeight="1">
      <c r="A105" s="14" t="s">
        <v>122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92</v>
      </c>
      <c r="M105" s="15"/>
      <c r="N105" s="15"/>
      <c r="O105" s="15" t="s">
        <v>170</v>
      </c>
      <c r="P105" s="15"/>
      <c r="Q105" s="15"/>
      <c r="R105" s="23" t="s">
        <v>123</v>
      </c>
      <c r="S105" s="23"/>
      <c r="T105" s="17">
        <f>294680</f>
        <v>294680</v>
      </c>
      <c r="U105" s="17"/>
      <c r="V105" s="17"/>
      <c r="W105" s="17">
        <f>213795.2</f>
        <v>213795.2</v>
      </c>
      <c r="X105" s="17"/>
      <c r="Y105" s="17"/>
      <c r="Z105" s="17"/>
      <c r="AA105" s="17"/>
      <c r="AB105" s="52">
        <f>80884.8</f>
        <v>80884.8</v>
      </c>
      <c r="AC105" s="52"/>
    </row>
    <row r="106" spans="1:29" s="1" customFormat="1" ht="13.5" customHeight="1">
      <c r="A106" s="14" t="s">
        <v>122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92</v>
      </c>
      <c r="M106" s="15"/>
      <c r="N106" s="15"/>
      <c r="O106" s="15" t="s">
        <v>171</v>
      </c>
      <c r="P106" s="15"/>
      <c r="Q106" s="15"/>
      <c r="R106" s="23" t="s">
        <v>123</v>
      </c>
      <c r="S106" s="23"/>
      <c r="T106" s="17">
        <f>15600</f>
        <v>15600</v>
      </c>
      <c r="U106" s="17"/>
      <c r="V106" s="17"/>
      <c r="W106" s="17">
        <f>11700</f>
        <v>11700</v>
      </c>
      <c r="X106" s="17"/>
      <c r="Y106" s="17"/>
      <c r="Z106" s="17"/>
      <c r="AA106" s="17"/>
      <c r="AB106" s="52">
        <f>3900</f>
        <v>3900</v>
      </c>
      <c r="AC106" s="52"/>
    </row>
    <row r="107" spans="1:29" s="1" customFormat="1" ht="13.5" customHeight="1">
      <c r="A107" s="14" t="s">
        <v>127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92</v>
      </c>
      <c r="M107" s="15"/>
      <c r="N107" s="15"/>
      <c r="O107" s="15" t="s">
        <v>172</v>
      </c>
      <c r="P107" s="15"/>
      <c r="Q107" s="15"/>
      <c r="R107" s="23" t="s">
        <v>128</v>
      </c>
      <c r="S107" s="23"/>
      <c r="T107" s="17">
        <f>66298.61</f>
        <v>66298.61</v>
      </c>
      <c r="U107" s="17"/>
      <c r="V107" s="17"/>
      <c r="W107" s="17">
        <f>28747.09</f>
        <v>28747.09</v>
      </c>
      <c r="X107" s="17"/>
      <c r="Y107" s="17"/>
      <c r="Z107" s="17"/>
      <c r="AA107" s="17"/>
      <c r="AB107" s="52">
        <f>37551.52</f>
        <v>37551.52</v>
      </c>
      <c r="AC107" s="52"/>
    </row>
    <row r="108" spans="1:29" s="1" customFormat="1" ht="13.5" customHeight="1">
      <c r="A108" s="14" t="s">
        <v>120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92</v>
      </c>
      <c r="M108" s="15"/>
      <c r="N108" s="15"/>
      <c r="O108" s="15" t="s">
        <v>172</v>
      </c>
      <c r="P108" s="15"/>
      <c r="Q108" s="15"/>
      <c r="R108" s="23" t="s">
        <v>121</v>
      </c>
      <c r="S108" s="23"/>
      <c r="T108" s="17">
        <f>117221.28</f>
        <v>117221.28</v>
      </c>
      <c r="U108" s="17"/>
      <c r="V108" s="17"/>
      <c r="W108" s="17">
        <f>85251.84</f>
        <v>85251.84</v>
      </c>
      <c r="X108" s="17"/>
      <c r="Y108" s="17"/>
      <c r="Z108" s="17"/>
      <c r="AA108" s="17"/>
      <c r="AB108" s="52">
        <f>31969.44</f>
        <v>31969.44</v>
      </c>
      <c r="AC108" s="52"/>
    </row>
    <row r="109" spans="1:29" s="1" customFormat="1" ht="13.5" customHeight="1">
      <c r="A109" s="14" t="s">
        <v>122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92</v>
      </c>
      <c r="M109" s="15"/>
      <c r="N109" s="15"/>
      <c r="O109" s="15" t="s">
        <v>172</v>
      </c>
      <c r="P109" s="15"/>
      <c r="Q109" s="15"/>
      <c r="R109" s="23" t="s">
        <v>123</v>
      </c>
      <c r="S109" s="23"/>
      <c r="T109" s="17">
        <f>14783.86</f>
        <v>14783.86</v>
      </c>
      <c r="U109" s="17"/>
      <c r="V109" s="17"/>
      <c r="W109" s="17">
        <f>13703.86</f>
        <v>13703.86</v>
      </c>
      <c r="X109" s="17"/>
      <c r="Y109" s="17"/>
      <c r="Z109" s="17"/>
      <c r="AA109" s="17"/>
      <c r="AB109" s="52">
        <f>1080</f>
        <v>1080</v>
      </c>
      <c r="AC109" s="52"/>
    </row>
    <row r="110" spans="1:29" s="1" customFormat="1" ht="13.5" customHeight="1">
      <c r="A110" s="14" t="s">
        <v>122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92</v>
      </c>
      <c r="M110" s="15"/>
      <c r="N110" s="15"/>
      <c r="O110" s="15" t="s">
        <v>173</v>
      </c>
      <c r="P110" s="15"/>
      <c r="Q110" s="15"/>
      <c r="R110" s="23" t="s">
        <v>123</v>
      </c>
      <c r="S110" s="23"/>
      <c r="T110" s="17">
        <f>10000</f>
        <v>10000</v>
      </c>
      <c r="U110" s="17"/>
      <c r="V110" s="17"/>
      <c r="W110" s="17">
        <f>10000</f>
        <v>10000</v>
      </c>
      <c r="X110" s="17"/>
      <c r="Y110" s="17"/>
      <c r="Z110" s="17"/>
      <c r="AA110" s="17"/>
      <c r="AB110" s="52">
        <f aca="true" t="shared" si="1" ref="AB110:AB119">0</f>
        <v>0</v>
      </c>
      <c r="AC110" s="52"/>
    </row>
    <row r="111" spans="1:29" s="1" customFormat="1" ht="13.5" customHeight="1">
      <c r="A111" s="14" t="s">
        <v>120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92</v>
      </c>
      <c r="M111" s="15"/>
      <c r="N111" s="15"/>
      <c r="O111" s="15" t="s">
        <v>174</v>
      </c>
      <c r="P111" s="15"/>
      <c r="Q111" s="15"/>
      <c r="R111" s="23" t="s">
        <v>121</v>
      </c>
      <c r="S111" s="23"/>
      <c r="T111" s="17">
        <f>10656.48</f>
        <v>10656.48</v>
      </c>
      <c r="U111" s="17"/>
      <c r="V111" s="17"/>
      <c r="W111" s="17">
        <f>10656.48</f>
        <v>10656.48</v>
      </c>
      <c r="X111" s="17"/>
      <c r="Y111" s="17"/>
      <c r="Z111" s="17"/>
      <c r="AA111" s="17"/>
      <c r="AB111" s="52">
        <f t="shared" si="1"/>
        <v>0</v>
      </c>
      <c r="AC111" s="52"/>
    </row>
    <row r="112" spans="1:29" s="1" customFormat="1" ht="13.5" customHeight="1">
      <c r="A112" s="14" t="s">
        <v>122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92</v>
      </c>
      <c r="M112" s="15"/>
      <c r="N112" s="15"/>
      <c r="O112" s="15" t="s">
        <v>174</v>
      </c>
      <c r="P112" s="15"/>
      <c r="Q112" s="15"/>
      <c r="R112" s="23" t="s">
        <v>123</v>
      </c>
      <c r="S112" s="23"/>
      <c r="T112" s="17">
        <f>458.33</f>
        <v>458.33</v>
      </c>
      <c r="U112" s="17"/>
      <c r="V112" s="17"/>
      <c r="W112" s="17">
        <f>458.33</f>
        <v>458.33</v>
      </c>
      <c r="X112" s="17"/>
      <c r="Y112" s="17"/>
      <c r="Z112" s="17"/>
      <c r="AA112" s="17"/>
      <c r="AB112" s="52">
        <f t="shared" si="1"/>
        <v>0</v>
      </c>
      <c r="AC112" s="52"/>
    </row>
    <row r="113" spans="1:29" s="1" customFormat="1" ht="13.5" customHeight="1">
      <c r="A113" s="14" t="s">
        <v>122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92</v>
      </c>
      <c r="M113" s="15"/>
      <c r="N113" s="15"/>
      <c r="O113" s="15" t="s">
        <v>175</v>
      </c>
      <c r="P113" s="15"/>
      <c r="Q113" s="15"/>
      <c r="R113" s="23" t="s">
        <v>123</v>
      </c>
      <c r="S113" s="23"/>
      <c r="T113" s="17">
        <f>51573</f>
        <v>51573</v>
      </c>
      <c r="U113" s="17"/>
      <c r="V113" s="17"/>
      <c r="W113" s="17">
        <f>51573</f>
        <v>51573</v>
      </c>
      <c r="X113" s="17"/>
      <c r="Y113" s="17"/>
      <c r="Z113" s="17"/>
      <c r="AA113" s="17"/>
      <c r="AB113" s="52">
        <f t="shared" si="1"/>
        <v>0</v>
      </c>
      <c r="AC113" s="52"/>
    </row>
    <row r="114" spans="1:29" s="1" customFormat="1" ht="13.5" customHeight="1">
      <c r="A114" s="14" t="s">
        <v>122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92</v>
      </c>
      <c r="M114" s="15"/>
      <c r="N114" s="15"/>
      <c r="O114" s="15" t="s">
        <v>176</v>
      </c>
      <c r="P114" s="15"/>
      <c r="Q114" s="15"/>
      <c r="R114" s="23" t="s">
        <v>123</v>
      </c>
      <c r="S114" s="23"/>
      <c r="T114" s="17">
        <f>40953</f>
        <v>40953</v>
      </c>
      <c r="U114" s="17"/>
      <c r="V114" s="17"/>
      <c r="W114" s="17">
        <f>40953</f>
        <v>40953</v>
      </c>
      <c r="X114" s="17"/>
      <c r="Y114" s="17"/>
      <c r="Z114" s="17"/>
      <c r="AA114" s="17"/>
      <c r="AB114" s="52">
        <f t="shared" si="1"/>
        <v>0</v>
      </c>
      <c r="AC114" s="52"/>
    </row>
    <row r="115" spans="1:29" s="1" customFormat="1" ht="13.5" customHeight="1">
      <c r="A115" s="14" t="s">
        <v>122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92</v>
      </c>
      <c r="M115" s="15"/>
      <c r="N115" s="15"/>
      <c r="O115" s="15" t="s">
        <v>177</v>
      </c>
      <c r="P115" s="15"/>
      <c r="Q115" s="15"/>
      <c r="R115" s="23" t="s">
        <v>123</v>
      </c>
      <c r="S115" s="23"/>
      <c r="T115" s="17">
        <f>3290</f>
        <v>3290</v>
      </c>
      <c r="U115" s="17"/>
      <c r="V115" s="17"/>
      <c r="W115" s="17">
        <f>3290</f>
        <v>3290</v>
      </c>
      <c r="X115" s="17"/>
      <c r="Y115" s="17"/>
      <c r="Z115" s="17"/>
      <c r="AA115" s="17"/>
      <c r="AB115" s="52">
        <f t="shared" si="1"/>
        <v>0</v>
      </c>
      <c r="AC115" s="52"/>
    </row>
    <row r="116" spans="1:29" s="1" customFormat="1" ht="13.5" customHeight="1">
      <c r="A116" s="14" t="s">
        <v>122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92</v>
      </c>
      <c r="M116" s="15"/>
      <c r="N116" s="15"/>
      <c r="O116" s="15" t="s">
        <v>178</v>
      </c>
      <c r="P116" s="15"/>
      <c r="Q116" s="15"/>
      <c r="R116" s="23" t="s">
        <v>123</v>
      </c>
      <c r="S116" s="23"/>
      <c r="T116" s="17">
        <f>593504.11</f>
        <v>593504.11</v>
      </c>
      <c r="U116" s="17"/>
      <c r="V116" s="17"/>
      <c r="W116" s="17">
        <f>593504.11</f>
        <v>593504.11</v>
      </c>
      <c r="X116" s="17"/>
      <c r="Y116" s="17"/>
      <c r="Z116" s="17"/>
      <c r="AA116" s="17"/>
      <c r="AB116" s="52">
        <f t="shared" si="1"/>
        <v>0</v>
      </c>
      <c r="AC116" s="52"/>
    </row>
    <row r="117" spans="1:29" s="1" customFormat="1" ht="13.5" customHeight="1">
      <c r="A117" s="14" t="s">
        <v>122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92</v>
      </c>
      <c r="M117" s="15"/>
      <c r="N117" s="15"/>
      <c r="O117" s="15" t="s">
        <v>179</v>
      </c>
      <c r="P117" s="15"/>
      <c r="Q117" s="15"/>
      <c r="R117" s="23" t="s">
        <v>123</v>
      </c>
      <c r="S117" s="23"/>
      <c r="T117" s="17">
        <f>188908.95</f>
        <v>188908.95</v>
      </c>
      <c r="U117" s="17"/>
      <c r="V117" s="17"/>
      <c r="W117" s="17">
        <f>188908.95</f>
        <v>188908.95</v>
      </c>
      <c r="X117" s="17"/>
      <c r="Y117" s="17"/>
      <c r="Z117" s="17"/>
      <c r="AA117" s="17"/>
      <c r="AB117" s="52">
        <f t="shared" si="1"/>
        <v>0</v>
      </c>
      <c r="AC117" s="52"/>
    </row>
    <row r="118" spans="1:29" s="1" customFormat="1" ht="13.5" customHeight="1">
      <c r="A118" s="14" t="s">
        <v>122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92</v>
      </c>
      <c r="M118" s="15"/>
      <c r="N118" s="15"/>
      <c r="O118" s="15" t="s">
        <v>180</v>
      </c>
      <c r="P118" s="15"/>
      <c r="Q118" s="15"/>
      <c r="R118" s="23" t="s">
        <v>123</v>
      </c>
      <c r="S118" s="23"/>
      <c r="T118" s="17">
        <f>723244.89</f>
        <v>723244.89</v>
      </c>
      <c r="U118" s="17"/>
      <c r="V118" s="17"/>
      <c r="W118" s="17">
        <f>723244.89</f>
        <v>723244.89</v>
      </c>
      <c r="X118" s="17"/>
      <c r="Y118" s="17"/>
      <c r="Z118" s="17"/>
      <c r="AA118" s="17"/>
      <c r="AB118" s="52">
        <f t="shared" si="1"/>
        <v>0</v>
      </c>
      <c r="AC118" s="52"/>
    </row>
    <row r="119" spans="1:29" s="1" customFormat="1" ht="13.5" customHeight="1">
      <c r="A119" s="14" t="s">
        <v>120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92</v>
      </c>
      <c r="M119" s="15"/>
      <c r="N119" s="15"/>
      <c r="O119" s="15" t="s">
        <v>181</v>
      </c>
      <c r="P119" s="15"/>
      <c r="Q119" s="15"/>
      <c r="R119" s="23" t="s">
        <v>121</v>
      </c>
      <c r="S119" s="23"/>
      <c r="T119" s="17">
        <f>101544.24</f>
        <v>101544.24</v>
      </c>
      <c r="U119" s="17"/>
      <c r="V119" s="17"/>
      <c r="W119" s="17">
        <f>101544.24</f>
        <v>101544.24</v>
      </c>
      <c r="X119" s="17"/>
      <c r="Y119" s="17"/>
      <c r="Z119" s="17"/>
      <c r="AA119" s="17"/>
      <c r="AB119" s="52">
        <f t="shared" si="1"/>
        <v>0</v>
      </c>
      <c r="AC119" s="52"/>
    </row>
    <row r="120" spans="1:29" s="1" customFormat="1" ht="13.5" customHeight="1">
      <c r="A120" s="14" t="s">
        <v>122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92</v>
      </c>
      <c r="M120" s="15"/>
      <c r="N120" s="15"/>
      <c r="O120" s="15" t="s">
        <v>182</v>
      </c>
      <c r="P120" s="15"/>
      <c r="Q120" s="15"/>
      <c r="R120" s="23" t="s">
        <v>123</v>
      </c>
      <c r="S120" s="23"/>
      <c r="T120" s="17">
        <f>13251.2</f>
        <v>13251.2</v>
      </c>
      <c r="U120" s="17"/>
      <c r="V120" s="17"/>
      <c r="W120" s="21" t="s">
        <v>40</v>
      </c>
      <c r="X120" s="21"/>
      <c r="Y120" s="21"/>
      <c r="Z120" s="21"/>
      <c r="AA120" s="21"/>
      <c r="AB120" s="52">
        <f>13251.2</f>
        <v>13251.2</v>
      </c>
      <c r="AC120" s="52"/>
    </row>
    <row r="121" spans="1:29" s="1" customFormat="1" ht="13.5" customHeight="1">
      <c r="A121" s="14" t="s">
        <v>127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92</v>
      </c>
      <c r="M121" s="15"/>
      <c r="N121" s="15"/>
      <c r="O121" s="15" t="s">
        <v>183</v>
      </c>
      <c r="P121" s="15"/>
      <c r="Q121" s="15"/>
      <c r="R121" s="23" t="s">
        <v>128</v>
      </c>
      <c r="S121" s="23"/>
      <c r="T121" s="17">
        <f>513961.92</f>
        <v>513961.92</v>
      </c>
      <c r="U121" s="17"/>
      <c r="V121" s="17"/>
      <c r="W121" s="17">
        <f>315522.38</f>
        <v>315522.38</v>
      </c>
      <c r="X121" s="17"/>
      <c r="Y121" s="17"/>
      <c r="Z121" s="17"/>
      <c r="AA121" s="17"/>
      <c r="AB121" s="52">
        <f>198439.54</f>
        <v>198439.54</v>
      </c>
      <c r="AC121" s="52"/>
    </row>
    <row r="122" spans="1:29" s="1" customFormat="1" ht="13.5" customHeight="1">
      <c r="A122" s="14" t="s">
        <v>120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92</v>
      </c>
      <c r="M122" s="15"/>
      <c r="N122" s="15"/>
      <c r="O122" s="15" t="s">
        <v>183</v>
      </c>
      <c r="P122" s="15"/>
      <c r="Q122" s="15"/>
      <c r="R122" s="23" t="s">
        <v>121</v>
      </c>
      <c r="S122" s="23"/>
      <c r="T122" s="17">
        <f>135511.16</f>
        <v>135511.16</v>
      </c>
      <c r="U122" s="17"/>
      <c r="V122" s="17"/>
      <c r="W122" s="17">
        <f>75511.16</f>
        <v>75511.16</v>
      </c>
      <c r="X122" s="17"/>
      <c r="Y122" s="17"/>
      <c r="Z122" s="17"/>
      <c r="AA122" s="17"/>
      <c r="AB122" s="52">
        <f>60000</f>
        <v>60000</v>
      </c>
      <c r="AC122" s="52"/>
    </row>
    <row r="123" spans="1:29" s="1" customFormat="1" ht="13.5" customHeight="1">
      <c r="A123" s="14" t="s">
        <v>122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92</v>
      </c>
      <c r="M123" s="15"/>
      <c r="N123" s="15"/>
      <c r="O123" s="15" t="s">
        <v>183</v>
      </c>
      <c r="P123" s="15"/>
      <c r="Q123" s="15"/>
      <c r="R123" s="23" t="s">
        <v>123</v>
      </c>
      <c r="S123" s="23"/>
      <c r="T123" s="17">
        <f>399311.7</f>
        <v>399311.7</v>
      </c>
      <c r="U123" s="17"/>
      <c r="V123" s="17"/>
      <c r="W123" s="17">
        <f>319551.3</f>
        <v>319551.3</v>
      </c>
      <c r="X123" s="17"/>
      <c r="Y123" s="17"/>
      <c r="Z123" s="17"/>
      <c r="AA123" s="17"/>
      <c r="AB123" s="52">
        <f>79760.4</f>
        <v>79760.4</v>
      </c>
      <c r="AC123" s="52"/>
    </row>
    <row r="124" spans="1:29" s="1" customFormat="1" ht="13.5" customHeight="1">
      <c r="A124" s="14" t="s">
        <v>139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92</v>
      </c>
      <c r="M124" s="15"/>
      <c r="N124" s="15"/>
      <c r="O124" s="15" t="s">
        <v>183</v>
      </c>
      <c r="P124" s="15"/>
      <c r="Q124" s="15"/>
      <c r="R124" s="23" t="s">
        <v>140</v>
      </c>
      <c r="S124" s="23"/>
      <c r="T124" s="17">
        <f>21240</f>
        <v>21240</v>
      </c>
      <c r="U124" s="17"/>
      <c r="V124" s="17"/>
      <c r="W124" s="17">
        <f>21240</f>
        <v>21240</v>
      </c>
      <c r="X124" s="17"/>
      <c r="Y124" s="17"/>
      <c r="Z124" s="17"/>
      <c r="AA124" s="17"/>
      <c r="AB124" s="52">
        <f>0</f>
        <v>0</v>
      </c>
      <c r="AC124" s="52"/>
    </row>
    <row r="125" spans="1:29" s="1" customFormat="1" ht="13.5" customHeight="1">
      <c r="A125" s="14" t="s">
        <v>93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92</v>
      </c>
      <c r="M125" s="15"/>
      <c r="N125" s="15"/>
      <c r="O125" s="15" t="s">
        <v>184</v>
      </c>
      <c r="P125" s="15"/>
      <c r="Q125" s="15"/>
      <c r="R125" s="23" t="s">
        <v>95</v>
      </c>
      <c r="S125" s="23"/>
      <c r="T125" s="17">
        <f>165.91</f>
        <v>165.91</v>
      </c>
      <c r="U125" s="17"/>
      <c r="V125" s="17"/>
      <c r="W125" s="17">
        <f>165.5</f>
        <v>165.5</v>
      </c>
      <c r="X125" s="17"/>
      <c r="Y125" s="17"/>
      <c r="Z125" s="17"/>
      <c r="AA125" s="17"/>
      <c r="AB125" s="52">
        <f>0.41</f>
        <v>0.41</v>
      </c>
      <c r="AC125" s="52"/>
    </row>
    <row r="126" spans="1:29" s="1" customFormat="1" ht="13.5" customHeight="1">
      <c r="A126" s="14" t="s">
        <v>99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92</v>
      </c>
      <c r="M126" s="15"/>
      <c r="N126" s="15"/>
      <c r="O126" s="15" t="s">
        <v>185</v>
      </c>
      <c r="P126" s="15"/>
      <c r="Q126" s="15"/>
      <c r="R126" s="23" t="s">
        <v>101</v>
      </c>
      <c r="S126" s="23"/>
      <c r="T126" s="17">
        <f>50.11</f>
        <v>50.11</v>
      </c>
      <c r="U126" s="17"/>
      <c r="V126" s="17"/>
      <c r="W126" s="17">
        <f>49.98</f>
        <v>49.98</v>
      </c>
      <c r="X126" s="17"/>
      <c r="Y126" s="17"/>
      <c r="Z126" s="17"/>
      <c r="AA126" s="17"/>
      <c r="AB126" s="52">
        <f>0.13</f>
        <v>0.13</v>
      </c>
      <c r="AC126" s="52"/>
    </row>
    <row r="127" spans="1:29" s="1" customFormat="1" ht="13.5" customHeight="1">
      <c r="A127" s="14" t="s">
        <v>122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92</v>
      </c>
      <c r="M127" s="15"/>
      <c r="N127" s="15"/>
      <c r="O127" s="15" t="s">
        <v>186</v>
      </c>
      <c r="P127" s="15"/>
      <c r="Q127" s="15"/>
      <c r="R127" s="23" t="s">
        <v>123</v>
      </c>
      <c r="S127" s="23"/>
      <c r="T127" s="17">
        <f>149950</f>
        <v>149950</v>
      </c>
      <c r="U127" s="17"/>
      <c r="V127" s="17"/>
      <c r="W127" s="21" t="s">
        <v>40</v>
      </c>
      <c r="X127" s="21"/>
      <c r="Y127" s="21"/>
      <c r="Z127" s="21"/>
      <c r="AA127" s="21"/>
      <c r="AB127" s="52">
        <f>149950</f>
        <v>149950</v>
      </c>
      <c r="AC127" s="52"/>
    </row>
    <row r="128" spans="1:29" s="1" customFormat="1" ht="13.5" customHeight="1">
      <c r="A128" s="14" t="s">
        <v>127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92</v>
      </c>
      <c r="M128" s="15"/>
      <c r="N128" s="15"/>
      <c r="O128" s="15" t="s">
        <v>187</v>
      </c>
      <c r="P128" s="15"/>
      <c r="Q128" s="15"/>
      <c r="R128" s="23" t="s">
        <v>128</v>
      </c>
      <c r="S128" s="23"/>
      <c r="T128" s="17">
        <f>819000</f>
        <v>819000</v>
      </c>
      <c r="U128" s="17"/>
      <c r="V128" s="17"/>
      <c r="W128" s="17">
        <f>556510.2</f>
        <v>556510.2</v>
      </c>
      <c r="X128" s="17"/>
      <c r="Y128" s="17"/>
      <c r="Z128" s="17"/>
      <c r="AA128" s="17"/>
      <c r="AB128" s="52">
        <f>262489.8</f>
        <v>262489.8</v>
      </c>
      <c r="AC128" s="52"/>
    </row>
    <row r="129" spans="1:29" s="1" customFormat="1" ht="13.5" customHeight="1">
      <c r="A129" s="14" t="s">
        <v>122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92</v>
      </c>
      <c r="M129" s="15"/>
      <c r="N129" s="15"/>
      <c r="O129" s="15" t="s">
        <v>188</v>
      </c>
      <c r="P129" s="15"/>
      <c r="Q129" s="15"/>
      <c r="R129" s="23" t="s">
        <v>123</v>
      </c>
      <c r="S129" s="23"/>
      <c r="T129" s="17">
        <f>25000</f>
        <v>25000</v>
      </c>
      <c r="U129" s="17"/>
      <c r="V129" s="17"/>
      <c r="W129" s="17">
        <f>15000</f>
        <v>15000</v>
      </c>
      <c r="X129" s="17"/>
      <c r="Y129" s="17"/>
      <c r="Z129" s="17"/>
      <c r="AA129" s="17"/>
      <c r="AB129" s="52">
        <f>10000</f>
        <v>10000</v>
      </c>
      <c r="AC129" s="52"/>
    </row>
    <row r="130" spans="1:29" s="1" customFormat="1" ht="24" customHeight="1">
      <c r="A130" s="14" t="s">
        <v>189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92</v>
      </c>
      <c r="M130" s="15"/>
      <c r="N130" s="15"/>
      <c r="O130" s="15" t="s">
        <v>190</v>
      </c>
      <c r="P130" s="15"/>
      <c r="Q130" s="15"/>
      <c r="R130" s="23" t="s">
        <v>191</v>
      </c>
      <c r="S130" s="23"/>
      <c r="T130" s="17">
        <f>60000</f>
        <v>60000</v>
      </c>
      <c r="U130" s="17"/>
      <c r="V130" s="17"/>
      <c r="W130" s="17">
        <f>45000</f>
        <v>45000</v>
      </c>
      <c r="X130" s="17"/>
      <c r="Y130" s="17"/>
      <c r="Z130" s="17"/>
      <c r="AA130" s="17"/>
      <c r="AB130" s="52">
        <f>15000</f>
        <v>15000</v>
      </c>
      <c r="AC130" s="52"/>
    </row>
    <row r="131" spans="1:29" s="1" customFormat="1" ht="13.5" customHeight="1">
      <c r="A131" s="14" t="s">
        <v>192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92</v>
      </c>
      <c r="M131" s="15"/>
      <c r="N131" s="15"/>
      <c r="O131" s="15" t="s">
        <v>193</v>
      </c>
      <c r="P131" s="15"/>
      <c r="Q131" s="15"/>
      <c r="R131" s="23" t="s">
        <v>194</v>
      </c>
      <c r="S131" s="23"/>
      <c r="T131" s="17">
        <f>7665621.46</f>
        <v>7665621.46</v>
      </c>
      <c r="U131" s="17"/>
      <c r="V131" s="17"/>
      <c r="W131" s="17">
        <f>7665621.46</f>
        <v>7665621.46</v>
      </c>
      <c r="X131" s="17"/>
      <c r="Y131" s="17"/>
      <c r="Z131" s="17"/>
      <c r="AA131" s="17"/>
      <c r="AB131" s="52">
        <f>0</f>
        <v>0</v>
      </c>
      <c r="AC131" s="52"/>
    </row>
    <row r="132" spans="1:29" s="1" customFormat="1" ht="13.5" customHeight="1">
      <c r="A132" s="14" t="s">
        <v>192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92</v>
      </c>
      <c r="M132" s="15"/>
      <c r="N132" s="15"/>
      <c r="O132" s="15" t="s">
        <v>195</v>
      </c>
      <c r="P132" s="15"/>
      <c r="Q132" s="15"/>
      <c r="R132" s="23" t="s">
        <v>194</v>
      </c>
      <c r="S132" s="23"/>
      <c r="T132" s="17">
        <f>1427294.45</f>
        <v>1427294.45</v>
      </c>
      <c r="U132" s="17"/>
      <c r="V132" s="17"/>
      <c r="W132" s="17">
        <f>1427294.45</f>
        <v>1427294.45</v>
      </c>
      <c r="X132" s="17"/>
      <c r="Y132" s="17"/>
      <c r="Z132" s="17"/>
      <c r="AA132" s="17"/>
      <c r="AB132" s="52">
        <f>0</f>
        <v>0</v>
      </c>
      <c r="AC132" s="52"/>
    </row>
    <row r="133" spans="1:29" s="1" customFormat="1" ht="15" customHeight="1">
      <c r="A133" s="48" t="s">
        <v>196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9" t="s">
        <v>197</v>
      </c>
      <c r="M133" s="49"/>
      <c r="N133" s="49"/>
      <c r="O133" s="49" t="s">
        <v>35</v>
      </c>
      <c r="P133" s="49"/>
      <c r="Q133" s="49"/>
      <c r="R133" s="50" t="s">
        <v>35</v>
      </c>
      <c r="S133" s="50"/>
      <c r="T133" s="51">
        <f>-1037111.29</f>
        <v>-1037111.29</v>
      </c>
      <c r="U133" s="51"/>
      <c r="V133" s="51"/>
      <c r="W133" s="51">
        <f>-407390.45</f>
        <v>-407390.45</v>
      </c>
      <c r="X133" s="51"/>
      <c r="Y133" s="51"/>
      <c r="Z133" s="51"/>
      <c r="AA133" s="51"/>
      <c r="AB133" s="43" t="s">
        <v>35</v>
      </c>
      <c r="AC133" s="43"/>
    </row>
    <row r="134" spans="1:29" s="1" customFormat="1" ht="13.5" customHeight="1">
      <c r="A134" s="8" t="s">
        <v>10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13.5" customHeight="1">
      <c r="A135" s="44" t="s">
        <v>198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</row>
    <row r="136" spans="1:29" s="1" customFormat="1" ht="45.75" customHeight="1">
      <c r="A136" s="45" t="s">
        <v>21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 t="s">
        <v>22</v>
      </c>
      <c r="N136" s="45"/>
      <c r="O136" s="45"/>
      <c r="P136" s="45" t="s">
        <v>199</v>
      </c>
      <c r="Q136" s="45"/>
      <c r="R136" s="45"/>
      <c r="S136" s="46" t="s">
        <v>24</v>
      </c>
      <c r="T136" s="46"/>
      <c r="U136" s="46"/>
      <c r="V136" s="46" t="s">
        <v>25</v>
      </c>
      <c r="W136" s="46"/>
      <c r="X136" s="46"/>
      <c r="Y136" s="46"/>
      <c r="Z136" s="46"/>
      <c r="AA136" s="47" t="s">
        <v>26</v>
      </c>
      <c r="AB136" s="47"/>
      <c r="AC136" s="47"/>
    </row>
    <row r="137" spans="1:29" s="1" customFormat="1" ht="12.75" customHeight="1">
      <c r="A137" s="40" t="s">
        <v>27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 t="s">
        <v>28</v>
      </c>
      <c r="N137" s="40"/>
      <c r="O137" s="40"/>
      <c r="P137" s="40" t="s">
        <v>29</v>
      </c>
      <c r="Q137" s="40"/>
      <c r="R137" s="40"/>
      <c r="S137" s="41" t="s">
        <v>30</v>
      </c>
      <c r="T137" s="41"/>
      <c r="U137" s="41"/>
      <c r="V137" s="41" t="s">
        <v>31</v>
      </c>
      <c r="W137" s="41"/>
      <c r="X137" s="41"/>
      <c r="Y137" s="41"/>
      <c r="Z137" s="41"/>
      <c r="AA137" s="42" t="s">
        <v>32</v>
      </c>
      <c r="AB137" s="42"/>
      <c r="AC137" s="42"/>
    </row>
    <row r="138" spans="1:29" s="1" customFormat="1" ht="13.5" customHeight="1">
      <c r="A138" s="35" t="s">
        <v>200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6" t="s">
        <v>201</v>
      </c>
      <c r="N138" s="36"/>
      <c r="O138" s="36"/>
      <c r="P138" s="36" t="s">
        <v>35</v>
      </c>
      <c r="Q138" s="36"/>
      <c r="R138" s="36"/>
      <c r="S138" s="37">
        <f>1037111.29</f>
        <v>1037111.29</v>
      </c>
      <c r="T138" s="37"/>
      <c r="U138" s="37"/>
      <c r="V138" s="38">
        <f>407390.45</f>
        <v>407390.45</v>
      </c>
      <c r="W138" s="38"/>
      <c r="X138" s="38"/>
      <c r="Y138" s="38"/>
      <c r="Z138" s="38"/>
      <c r="AA138" s="39" t="s">
        <v>35</v>
      </c>
      <c r="AB138" s="39"/>
      <c r="AC138" s="39"/>
    </row>
    <row r="139" spans="1:29" s="1" customFormat="1" ht="13.5" customHeight="1">
      <c r="A139" s="33" t="s">
        <v>202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24" t="s">
        <v>10</v>
      </c>
      <c r="N139" s="24"/>
      <c r="O139" s="24"/>
      <c r="P139" s="24" t="s">
        <v>10</v>
      </c>
      <c r="Q139" s="24"/>
      <c r="R139" s="24"/>
      <c r="S139" s="25" t="s">
        <v>10</v>
      </c>
      <c r="T139" s="25"/>
      <c r="U139" s="25"/>
      <c r="V139" s="34" t="s">
        <v>10</v>
      </c>
      <c r="W139" s="34"/>
      <c r="X139" s="34"/>
      <c r="Y139" s="34"/>
      <c r="Z139" s="34"/>
      <c r="AA139" s="26" t="s">
        <v>10</v>
      </c>
      <c r="AB139" s="26"/>
      <c r="AC139" s="26"/>
    </row>
    <row r="140" spans="1:29" s="1" customFormat="1" ht="13.5" customHeight="1">
      <c r="A140" s="27" t="s">
        <v>203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8" t="s">
        <v>204</v>
      </c>
      <c r="N140" s="28"/>
      <c r="O140" s="28"/>
      <c r="P140" s="29" t="s">
        <v>35</v>
      </c>
      <c r="Q140" s="29"/>
      <c r="R140" s="29"/>
      <c r="S140" s="30" t="s">
        <v>40</v>
      </c>
      <c r="T140" s="30"/>
      <c r="U140" s="30"/>
      <c r="V140" s="31" t="s">
        <v>40</v>
      </c>
      <c r="W140" s="31"/>
      <c r="X140" s="31"/>
      <c r="Y140" s="31"/>
      <c r="Z140" s="31"/>
      <c r="AA140" s="32" t="s">
        <v>40</v>
      </c>
      <c r="AB140" s="32"/>
      <c r="AC140" s="32"/>
    </row>
    <row r="141" spans="1:29" s="1" customFormat="1" ht="13.5" customHeight="1">
      <c r="A141" s="23" t="s">
        <v>10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1" customFormat="1" ht="13.5" customHeight="1">
      <c r="A142" s="14" t="s">
        <v>205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24" t="s">
        <v>206</v>
      </c>
      <c r="N142" s="24"/>
      <c r="O142" s="24"/>
      <c r="P142" s="24" t="s">
        <v>35</v>
      </c>
      <c r="Q142" s="24"/>
      <c r="R142" s="24"/>
      <c r="S142" s="25" t="s">
        <v>40</v>
      </c>
      <c r="T142" s="25"/>
      <c r="U142" s="25"/>
      <c r="V142" s="21" t="s">
        <v>40</v>
      </c>
      <c r="W142" s="21"/>
      <c r="X142" s="21"/>
      <c r="Y142" s="21"/>
      <c r="Z142" s="21"/>
      <c r="AA142" s="26" t="s">
        <v>40</v>
      </c>
      <c r="AB142" s="26"/>
      <c r="AC142" s="26"/>
    </row>
    <row r="143" spans="1:29" s="1" customFormat="1" ht="13.5" customHeight="1">
      <c r="A143" s="14" t="s">
        <v>10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5" t="s">
        <v>206</v>
      </c>
      <c r="N143" s="15"/>
      <c r="O143" s="15"/>
      <c r="P143" s="15" t="s">
        <v>10</v>
      </c>
      <c r="Q143" s="15"/>
      <c r="R143" s="15"/>
      <c r="S143" s="20" t="s">
        <v>40</v>
      </c>
      <c r="T143" s="20"/>
      <c r="U143" s="20"/>
      <c r="V143" s="21" t="s">
        <v>40</v>
      </c>
      <c r="W143" s="21"/>
      <c r="X143" s="21"/>
      <c r="Y143" s="21"/>
      <c r="Z143" s="21"/>
      <c r="AA143" s="22" t="s">
        <v>40</v>
      </c>
      <c r="AB143" s="22"/>
      <c r="AC143" s="22"/>
    </row>
    <row r="144" spans="1:29" s="1" customFormat="1" ht="13.5" customHeight="1">
      <c r="A144" s="14" t="s">
        <v>207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5" t="s">
        <v>208</v>
      </c>
      <c r="N144" s="15"/>
      <c r="O144" s="15"/>
      <c r="P144" s="15" t="s">
        <v>209</v>
      </c>
      <c r="Q144" s="15"/>
      <c r="R144" s="15"/>
      <c r="S144" s="16">
        <f>1037111.29</f>
        <v>1037111.29</v>
      </c>
      <c r="T144" s="16"/>
      <c r="U144" s="16"/>
      <c r="V144" s="17">
        <f>407390.45</f>
        <v>407390.45</v>
      </c>
      <c r="W144" s="17"/>
      <c r="X144" s="17"/>
      <c r="Y144" s="17"/>
      <c r="Z144" s="17"/>
      <c r="AA144" s="19">
        <f>629720.84</f>
        <v>629720.84</v>
      </c>
      <c r="AB144" s="19"/>
      <c r="AC144" s="19"/>
    </row>
    <row r="145" spans="1:29" s="1" customFormat="1" ht="13.5" customHeight="1">
      <c r="A145" s="14" t="s">
        <v>210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5" t="s">
        <v>211</v>
      </c>
      <c r="N145" s="15"/>
      <c r="O145" s="15"/>
      <c r="P145" s="15" t="s">
        <v>212</v>
      </c>
      <c r="Q145" s="15"/>
      <c r="R145" s="15"/>
      <c r="S145" s="16">
        <f>-32387965.97</f>
        <v>-32387965.97</v>
      </c>
      <c r="T145" s="16"/>
      <c r="U145" s="16"/>
      <c r="V145" s="17">
        <f>-29479477.33</f>
        <v>-29479477.33</v>
      </c>
      <c r="W145" s="17"/>
      <c r="X145" s="17"/>
      <c r="Y145" s="17"/>
      <c r="Z145" s="17"/>
      <c r="AA145" s="18" t="s">
        <v>35</v>
      </c>
      <c r="AB145" s="18"/>
      <c r="AC145" s="18"/>
    </row>
    <row r="146" spans="1:29" s="1" customFormat="1" ht="13.5" customHeight="1">
      <c r="A146" s="14" t="s">
        <v>213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5" t="s">
        <v>214</v>
      </c>
      <c r="N146" s="15"/>
      <c r="O146" s="15"/>
      <c r="P146" s="15" t="s">
        <v>215</v>
      </c>
      <c r="Q146" s="15"/>
      <c r="R146" s="15"/>
      <c r="S146" s="16">
        <f>33425077.26</f>
        <v>33425077.26</v>
      </c>
      <c r="T146" s="16"/>
      <c r="U146" s="16"/>
      <c r="V146" s="17">
        <f>29886867.78</f>
        <v>29886867.78</v>
      </c>
      <c r="W146" s="17"/>
      <c r="X146" s="17"/>
      <c r="Y146" s="17"/>
      <c r="Z146" s="17"/>
      <c r="AA146" s="18" t="s">
        <v>35</v>
      </c>
      <c r="AB146" s="18"/>
      <c r="AC146" s="18"/>
    </row>
    <row r="147" spans="1:29" s="1" customFormat="1" ht="13.5" customHeight="1">
      <c r="A147" s="13" t="s">
        <v>10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s="1" customFormat="1" ht="13.5" customHeight="1">
      <c r="A148" s="8" t="s">
        <v>216</v>
      </c>
      <c r="B148" s="8"/>
      <c r="C148" s="8"/>
      <c r="D148" s="8"/>
      <c r="E148" s="8"/>
      <c r="F148" s="8"/>
      <c r="G148" s="8"/>
      <c r="H148" s="8"/>
      <c r="I148" s="12" t="s">
        <v>10</v>
      </c>
      <c r="J148" s="12"/>
      <c r="K148" s="12"/>
      <c r="L148" s="12"/>
      <c r="M148" s="12"/>
      <c r="N148" s="12"/>
      <c r="O148" s="12"/>
      <c r="P148" s="12" t="s">
        <v>217</v>
      </c>
      <c r="Q148" s="12"/>
      <c r="R148" s="12"/>
      <c r="S148" s="12"/>
      <c r="T148" s="12"/>
      <c r="U148" s="8" t="s">
        <v>10</v>
      </c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8" t="s">
        <v>10</v>
      </c>
      <c r="B149" s="8"/>
      <c r="C149" s="8"/>
      <c r="D149" s="8"/>
      <c r="E149" s="8"/>
      <c r="F149" s="8"/>
      <c r="G149" s="8"/>
      <c r="H149" s="8"/>
      <c r="I149" s="5" t="s">
        <v>10</v>
      </c>
      <c r="J149" s="11" t="s">
        <v>218</v>
      </c>
      <c r="K149" s="11"/>
      <c r="L149" s="11"/>
      <c r="M149" s="11"/>
      <c r="N149" s="8" t="s">
        <v>10</v>
      </c>
      <c r="O149" s="8"/>
      <c r="P149" s="5" t="s">
        <v>10</v>
      </c>
      <c r="Q149" s="11" t="s">
        <v>219</v>
      </c>
      <c r="R149" s="11"/>
      <c r="S149" s="11"/>
      <c r="T149" s="8" t="s">
        <v>10</v>
      </c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7.5" customHeight="1">
      <c r="A150" s="8" t="s">
        <v>10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1" customFormat="1" ht="13.5" customHeight="1">
      <c r="A151" s="8" t="s">
        <v>10</v>
      </c>
      <c r="B151" s="8"/>
      <c r="C151" s="8"/>
      <c r="D151" s="8"/>
      <c r="E151" s="8"/>
      <c r="F151" s="8"/>
      <c r="G151" s="8"/>
      <c r="H151" s="8"/>
      <c r="I151" s="12" t="s">
        <v>10</v>
      </c>
      <c r="J151" s="12"/>
      <c r="K151" s="12"/>
      <c r="L151" s="12"/>
      <c r="M151" s="12"/>
      <c r="N151" s="12"/>
      <c r="O151" s="12"/>
      <c r="P151" s="12" t="s">
        <v>220</v>
      </c>
      <c r="Q151" s="12"/>
      <c r="R151" s="12"/>
      <c r="S151" s="12"/>
      <c r="T151" s="12"/>
      <c r="U151" s="8" t="s">
        <v>10</v>
      </c>
      <c r="V151" s="8"/>
      <c r="W151" s="8"/>
      <c r="X151" s="8"/>
      <c r="Y151" s="8"/>
      <c r="Z151" s="8"/>
      <c r="AA151" s="8"/>
      <c r="AB151" s="8"/>
      <c r="AC151" s="8"/>
    </row>
    <row r="152" spans="1:29" s="1" customFormat="1" ht="13.5" customHeight="1">
      <c r="A152" s="8" t="s">
        <v>10</v>
      </c>
      <c r="B152" s="8"/>
      <c r="C152" s="8"/>
      <c r="D152" s="8"/>
      <c r="E152" s="8"/>
      <c r="F152" s="8"/>
      <c r="G152" s="8"/>
      <c r="H152" s="8"/>
      <c r="I152" s="5" t="s">
        <v>10</v>
      </c>
      <c r="J152" s="11" t="s">
        <v>218</v>
      </c>
      <c r="K152" s="11"/>
      <c r="L152" s="11"/>
      <c r="M152" s="11"/>
      <c r="N152" s="8" t="s">
        <v>10</v>
      </c>
      <c r="O152" s="8"/>
      <c r="P152" s="5" t="s">
        <v>10</v>
      </c>
      <c r="Q152" s="11" t="s">
        <v>219</v>
      </c>
      <c r="R152" s="11"/>
      <c r="S152" s="11"/>
      <c r="T152" s="8" t="s">
        <v>10</v>
      </c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1" customFormat="1" ht="7.5" customHeight="1">
      <c r="A153" s="8" t="s">
        <v>10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1" customFormat="1" ht="13.5" customHeight="1">
      <c r="A154" s="8" t="s">
        <v>221</v>
      </c>
      <c r="B154" s="8"/>
      <c r="C154" s="12" t="s">
        <v>10</v>
      </c>
      <c r="D154" s="12"/>
      <c r="E154" s="12"/>
      <c r="F154" s="12"/>
      <c r="G154" s="12"/>
      <c r="H154" s="12"/>
      <c r="I154" s="12" t="s">
        <v>10</v>
      </c>
      <c r="J154" s="12"/>
      <c r="K154" s="12"/>
      <c r="L154" s="12"/>
      <c r="M154" s="12"/>
      <c r="N154" s="12"/>
      <c r="O154" s="12"/>
      <c r="P154" s="12" t="s">
        <v>222</v>
      </c>
      <c r="Q154" s="12"/>
      <c r="R154" s="12"/>
      <c r="S154" s="12"/>
      <c r="T154" s="12"/>
      <c r="U154" s="8" t="s">
        <v>10</v>
      </c>
      <c r="V154" s="8"/>
      <c r="W154" s="8"/>
      <c r="X154" s="8"/>
      <c r="Y154" s="8"/>
      <c r="Z154" s="8"/>
      <c r="AA154" s="8"/>
      <c r="AB154" s="8"/>
      <c r="AC154" s="8"/>
    </row>
    <row r="155" spans="1:29" s="1" customFormat="1" ht="13.5" customHeight="1">
      <c r="A155" s="8" t="s">
        <v>10</v>
      </c>
      <c r="B155" s="8"/>
      <c r="C155" s="5" t="s">
        <v>10</v>
      </c>
      <c r="D155" s="11" t="s">
        <v>223</v>
      </c>
      <c r="E155" s="11"/>
      <c r="F155" s="11"/>
      <c r="G155" s="11"/>
      <c r="H155" s="5" t="s">
        <v>10</v>
      </c>
      <c r="I155" s="5" t="s">
        <v>10</v>
      </c>
      <c r="J155" s="11" t="s">
        <v>218</v>
      </c>
      <c r="K155" s="11"/>
      <c r="L155" s="11"/>
      <c r="M155" s="11"/>
      <c r="N155" s="8" t="s">
        <v>10</v>
      </c>
      <c r="O155" s="8"/>
      <c r="P155" s="5" t="s">
        <v>10</v>
      </c>
      <c r="Q155" s="11" t="s">
        <v>219</v>
      </c>
      <c r="R155" s="11"/>
      <c r="S155" s="11"/>
      <c r="T155" s="8" t="s">
        <v>10</v>
      </c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s="1" customFormat="1" ht="15.75" customHeight="1">
      <c r="A156" s="8" t="s">
        <v>10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s="1" customFormat="1" ht="13.5" customHeight="1">
      <c r="A157" s="9" t="s">
        <v>225</v>
      </c>
      <c r="B157" s="9"/>
      <c r="C157" s="9"/>
      <c r="D157" s="9"/>
      <c r="E157" s="9"/>
      <c r="F157" s="9"/>
      <c r="G157" s="9"/>
      <c r="H157" s="9"/>
      <c r="I157" s="9"/>
      <c r="J157" s="9"/>
      <c r="K157" s="8" t="s">
        <v>10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1" customFormat="1" ht="13.5" customHeight="1">
      <c r="A158" s="10" t="s">
        <v>224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</sheetData>
  <sheetProtection/>
  <mergeCells count="943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W44:AA44"/>
    <mergeCell ref="AB44:AC44"/>
    <mergeCell ref="A43:K43"/>
    <mergeCell ref="L43:N43"/>
    <mergeCell ref="O43:Q43"/>
    <mergeCell ref="R43:S43"/>
    <mergeCell ref="T43:V43"/>
    <mergeCell ref="W43:AA43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W48:AA48"/>
    <mergeCell ref="AB48:AC48"/>
    <mergeCell ref="A47:K47"/>
    <mergeCell ref="L47:N47"/>
    <mergeCell ref="O47:Q47"/>
    <mergeCell ref="R47:S47"/>
    <mergeCell ref="T47:V47"/>
    <mergeCell ref="W47:AA47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W52:AA52"/>
    <mergeCell ref="AB52:AC52"/>
    <mergeCell ref="A51:K51"/>
    <mergeCell ref="L51:N51"/>
    <mergeCell ref="O51:Q51"/>
    <mergeCell ref="R51:S51"/>
    <mergeCell ref="T51:V51"/>
    <mergeCell ref="W51:AA51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W56:AA56"/>
    <mergeCell ref="AB56:AC56"/>
    <mergeCell ref="A55:K55"/>
    <mergeCell ref="L55:N55"/>
    <mergeCell ref="O55:Q55"/>
    <mergeCell ref="R55:S55"/>
    <mergeCell ref="T55:V55"/>
    <mergeCell ref="W55:AA55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W60:AA60"/>
    <mergeCell ref="AB60:AC60"/>
    <mergeCell ref="A59:K59"/>
    <mergeCell ref="L59:N59"/>
    <mergeCell ref="O59:Q59"/>
    <mergeCell ref="R59:S59"/>
    <mergeCell ref="T59:V59"/>
    <mergeCell ref="W59:AA59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A131:K131"/>
    <mergeCell ref="L131:N131"/>
    <mergeCell ref="O131:Q131"/>
    <mergeCell ref="R131:S131"/>
    <mergeCell ref="T131:V131"/>
    <mergeCell ref="W131:AA131"/>
    <mergeCell ref="A132:K132"/>
    <mergeCell ref="L132:N132"/>
    <mergeCell ref="O132:Q132"/>
    <mergeCell ref="R132:S132"/>
    <mergeCell ref="T132:V132"/>
    <mergeCell ref="W132:AA132"/>
    <mergeCell ref="L133:N133"/>
    <mergeCell ref="O133:Q133"/>
    <mergeCell ref="R133:S133"/>
    <mergeCell ref="T133:V133"/>
    <mergeCell ref="W133:AA133"/>
    <mergeCell ref="AB131:AC131"/>
    <mergeCell ref="AB132:AC132"/>
    <mergeCell ref="AB133:AC133"/>
    <mergeCell ref="A134:AC134"/>
    <mergeCell ref="A135:AC135"/>
    <mergeCell ref="A136:L136"/>
    <mergeCell ref="M136:O136"/>
    <mergeCell ref="P136:R136"/>
    <mergeCell ref="S136:U136"/>
    <mergeCell ref="V136:Z136"/>
    <mergeCell ref="AA136:AC136"/>
    <mergeCell ref="A133:K133"/>
    <mergeCell ref="A137:L137"/>
    <mergeCell ref="M137:O137"/>
    <mergeCell ref="P137:R137"/>
    <mergeCell ref="S137:U137"/>
    <mergeCell ref="V137:Z137"/>
    <mergeCell ref="AA137:AC137"/>
    <mergeCell ref="A138:L138"/>
    <mergeCell ref="M138:O138"/>
    <mergeCell ref="P138:R138"/>
    <mergeCell ref="S138:U138"/>
    <mergeCell ref="V138:Z138"/>
    <mergeCell ref="AA138:AC138"/>
    <mergeCell ref="A139:L139"/>
    <mergeCell ref="M139:O139"/>
    <mergeCell ref="P139:R139"/>
    <mergeCell ref="S139:U139"/>
    <mergeCell ref="V139:Z139"/>
    <mergeCell ref="AA139:AC139"/>
    <mergeCell ref="A140:L140"/>
    <mergeCell ref="M140:O140"/>
    <mergeCell ref="P140:R140"/>
    <mergeCell ref="S140:U140"/>
    <mergeCell ref="V140:Z140"/>
    <mergeCell ref="AA140:AC140"/>
    <mergeCell ref="A141:AC141"/>
    <mergeCell ref="A142:L142"/>
    <mergeCell ref="M142:O142"/>
    <mergeCell ref="P142:R142"/>
    <mergeCell ref="S142:U142"/>
    <mergeCell ref="V142:Z142"/>
    <mergeCell ref="AA142:AC142"/>
    <mergeCell ref="A143:L143"/>
    <mergeCell ref="M143:O143"/>
    <mergeCell ref="P143:R143"/>
    <mergeCell ref="S143:U143"/>
    <mergeCell ref="V143:Z143"/>
    <mergeCell ref="AA143:AC143"/>
    <mergeCell ref="A144:L144"/>
    <mergeCell ref="M144:O144"/>
    <mergeCell ref="P144:R144"/>
    <mergeCell ref="S144:U144"/>
    <mergeCell ref="V144:Z144"/>
    <mergeCell ref="AA144:AC144"/>
    <mergeCell ref="A145:L145"/>
    <mergeCell ref="M145:O145"/>
    <mergeCell ref="P145:R145"/>
    <mergeCell ref="S145:U145"/>
    <mergeCell ref="V145:Z145"/>
    <mergeCell ref="AA145:AC145"/>
    <mergeCell ref="A146:L146"/>
    <mergeCell ref="M146:O146"/>
    <mergeCell ref="P146:R146"/>
    <mergeCell ref="S146:U146"/>
    <mergeCell ref="V146:Z146"/>
    <mergeCell ref="AA146:AC146"/>
    <mergeCell ref="A147:AC147"/>
    <mergeCell ref="A148:H148"/>
    <mergeCell ref="I148:O148"/>
    <mergeCell ref="P148:T148"/>
    <mergeCell ref="U148:AC148"/>
    <mergeCell ref="A149:H149"/>
    <mergeCell ref="J149:M149"/>
    <mergeCell ref="N149:O149"/>
    <mergeCell ref="Q149:S149"/>
    <mergeCell ref="T149:AC149"/>
    <mergeCell ref="A150:AC150"/>
    <mergeCell ref="A151:H151"/>
    <mergeCell ref="I151:O151"/>
    <mergeCell ref="P151:T151"/>
    <mergeCell ref="U151:AC151"/>
    <mergeCell ref="A152:H152"/>
    <mergeCell ref="J152:M152"/>
    <mergeCell ref="N152:O152"/>
    <mergeCell ref="Q152:S152"/>
    <mergeCell ref="T152:AC152"/>
    <mergeCell ref="A153:AC153"/>
    <mergeCell ref="A154:B154"/>
    <mergeCell ref="C154:H154"/>
    <mergeCell ref="I154:O154"/>
    <mergeCell ref="P154:T154"/>
    <mergeCell ref="U154:AC154"/>
    <mergeCell ref="A156:AC156"/>
    <mergeCell ref="A157:J157"/>
    <mergeCell ref="K157:AC157"/>
    <mergeCell ref="A158:AC158"/>
    <mergeCell ref="A155:B155"/>
    <mergeCell ref="D155:G155"/>
    <mergeCell ref="J155:M155"/>
    <mergeCell ref="N155:O155"/>
    <mergeCell ref="Q155:S155"/>
    <mergeCell ref="T155:AC155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38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2020-11-25T04:23:48Z</cp:lastPrinted>
  <dcterms:created xsi:type="dcterms:W3CDTF">2020-11-25T04:22:33Z</dcterms:created>
  <dcterms:modified xsi:type="dcterms:W3CDTF">2020-11-25T04:31:13Z</dcterms:modified>
  <cp:category/>
  <cp:version/>
  <cp:contentType/>
  <cp:contentStatus/>
</cp:coreProperties>
</file>