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<sst xmlns="http://schemas.openxmlformats.org/spreadsheetml/2006/main" count="604" uniqueCount="220">
  <si>
    <t>ОТЧЕТ ОБ ИСПОЛНЕНИИ БЮДЖЕТА</t>
  </si>
  <si>
    <t>КОДЫ</t>
  </si>
  <si>
    <t xml:space="preserve">Форма по ОКУД </t>
  </si>
  <si>
    <t>0503117</t>
  </si>
  <si>
    <t>на 1 июня 2020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</si>
  <si>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</si>
  <si>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</si>
  <si>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</si>
  <si>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</si>
  <si>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</si>
  <si>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</si>
  <si>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</si>
  <si>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</si>
  <si>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</si>
  <si>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</si>
  <si>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</si>
  <si>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</si>
  <si>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</si>
  <si>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</si>
  <si>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</si>
  <si>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</si>
  <si>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</si>
  <si>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</si>
  <si>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</si>
  <si>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</si>
  <si>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</si>
  <si>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</si>
  <si>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</si>
  <si>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</si>
  <si>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</si>
  <si>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</si>
  <si>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</si>
  <si>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</si>
  <si>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</si>
  <si>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</si>
  <si>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</si>
  <si>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</si>
  <si>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</si>
  <si>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</si>
  <si>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</si>
  <si>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</si>
  <si>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</si>
  <si>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</si>
  <si>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</si>
  <si>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</si>
  <si>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</si>
  <si>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</si>
  <si>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</si>
  <si>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</si>
  <si>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</si>
  <si>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</si>
  <si>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</si>
  <si>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</si>
  <si>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</si>
  <si>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</si>
  <si>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</si>
  <si>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</si>
  <si>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</si>
  <si>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</si>
  <si>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</si>
  <si>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</si>
  <si>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</si>
  <si>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</si>
  <si>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</si>
  <si>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</si>
  <si>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</si>
  <si>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</si>
  <si>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</si>
  <si>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</si>
  <si>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</si>
  <si>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</si>
  <si>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</si>
  <si>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</si>
  <si>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</si>
  <si>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</si>
  <si>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</si>
  <si>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</si>
  <si>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</si>
  <si>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</si>
  <si>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</si>
  <si>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</si>
  <si>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</si>
  <si>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</si>
  <si>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</si>
  <si>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</si>
  <si>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</si>
  <si>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</si>
  <si>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</si>
  <si>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</si>
  <si>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</si>
  <si>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</si>
  <si>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</si>
  <si>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</si>
  <si>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</si>
  <si>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</si>
  <si>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</si>
  <si>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</si>
  <si>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</si>
  <si>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</si>
  <si>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</si>
  <si>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</si>
  <si>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</si>
  <si>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</si>
  <si>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650 0104 1000102040 121</t>
  </si>
  <si>
    <t>650 0104 1000102040 122</t>
  </si>
  <si>
    <t>Прочие несоциальные выплаты персоналу в натуральной форме</t>
  </si>
  <si>
    <t>214</t>
  </si>
  <si>
    <t>650 0104 1000102040 129</t>
  </si>
  <si>
    <t>650 0104 5010002040 121</t>
  </si>
  <si>
    <t>650 0104 5010002040 122</t>
  </si>
  <si>
    <t>650 0104 5010002040 129</t>
  </si>
  <si>
    <t>Расходы</t>
  </si>
  <si>
    <t>650 0111 5000020940 870</t>
  </si>
  <si>
    <t>650 0113 1000199990 111</t>
  </si>
  <si>
    <t>650 0113 1000199990 112</t>
  </si>
  <si>
    <t>650 0113 1000199990 119</t>
  </si>
  <si>
    <t>Услуги связи</t>
  </si>
  <si>
    <t>650 0113 1000199990 242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</si>
  <si>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</si>
  <si>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</si>
  <si>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</si>
  <si>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</si>
  <si>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</si>
  <si>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650 0113 1000199990 244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</si>
  <si>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</si>
  <si>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</si>
  <si>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</si>
  <si>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</si>
  <si>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</si>
  <si>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</si>
  <si>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</si>
  <si>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</si>
  <si>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</si>
  <si>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</si>
  <si>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</si>
  <si>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</si>
  <si>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</si>
  <si>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</si>
  <si>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</si>
  <si>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</si>
  <si>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</si>
  <si>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650 0113 1000199990 852</t>
  </si>
  <si>
    <t>291</t>
  </si>
  <si>
    <t>650 0113 1100199990 244</t>
  </si>
  <si>
    <t>650 0113 5000000600 111</t>
  </si>
  <si>
    <t>650 0113 5000000600 119</t>
  </si>
  <si>
    <t>650 0113 5000000600 242</t>
  </si>
  <si>
    <t>650 0113 5000000600 244</t>
  </si>
  <si>
    <t>650 0113 5000000600 852</t>
  </si>
  <si>
    <t>Иные выплаты текущего характера организациям</t>
  </si>
  <si>
    <t>650 0113 5000009300 853</t>
  </si>
  <si>
    <t>297</t>
  </si>
  <si>
    <t>650 0203 5000051180 121</t>
  </si>
  <si>
    <t>650 0203 5000051180 129</t>
  </si>
  <si>
    <t>650 0304 2010359300 121</t>
  </si>
  <si>
    <t>650 0304 2010359300 129</t>
  </si>
  <si>
    <t>650 0304 20103D9300 121</t>
  </si>
  <si>
    <t>650 0304 20103D9300 129</t>
  </si>
  <si>
    <t>650 0309 0900199990 244</t>
  </si>
  <si>
    <t>650 0314 0200199990 244</t>
  </si>
  <si>
    <t>650 0314 0310182300 123</t>
  </si>
  <si>
    <t>650 0314 03101S2300 123</t>
  </si>
  <si>
    <t>650 0314 0320199990 244</t>
  </si>
  <si>
    <t>650 0405 0600984200 244</t>
  </si>
  <si>
    <t>650 0409 0100120901 244</t>
  </si>
  <si>
    <t>650 0409 0100220902 244</t>
  </si>
  <si>
    <t>650 0410 0400489004 242</t>
  </si>
  <si>
    <t>650 0410 1000103300 242</t>
  </si>
  <si>
    <t>650 0410 1000420904 242</t>
  </si>
  <si>
    <t>650 0501 0800199990 244</t>
  </si>
  <si>
    <t>650 0501 0800299990 244</t>
  </si>
  <si>
    <t>650 0501 5000000350 244</t>
  </si>
  <si>
    <t>650 0503 0500189001 244</t>
  </si>
  <si>
    <t>650 0503 0500189016 244</t>
  </si>
  <si>
    <t>650 0503 0500189022 244</t>
  </si>
  <si>
    <t>650 0503 0500199990 244</t>
  </si>
  <si>
    <t>650 0605 1200284290 121</t>
  </si>
  <si>
    <t>650 0605 1200284290 129</t>
  </si>
  <si>
    <t>650 0605 1200289021 244</t>
  </si>
  <si>
    <t>650 0605 1200389002 244</t>
  </si>
  <si>
    <t>650 0705 0600102400 244</t>
  </si>
  <si>
    <t>650 0707 0700199990 244</t>
  </si>
  <si>
    <t>Пенсии, пособия, выплачиваемые работодателями, нанимателями бывшим работникам</t>
  </si>
  <si>
    <t>650 1001 5000004910 321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</si>
  <si>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</si>
  <si>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</si>
  <si>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</si>
  <si>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</si>
  <si>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</si>
  <si>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</si>
  <si>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</si>
  <si>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</si>
  <si>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</si>
  <si>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</si>
  <si>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</si>
  <si>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</si>
  <si>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</si>
  <si>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</si>
  <si>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</si>
  <si>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</si>
  <si>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</si>
  <si>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</si>
  <si>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</si>
  <si>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</si>
  <si>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</si>
  <si>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</si>
  <si>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</si>
  <si>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</si>
  <si>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</si>
  <si>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</si>
  <si>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</si>
  <si>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</si>
  <si>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</si>
  <si>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</si>
  <si>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</si>
  <si>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Савранская И. П.</t>
  </si>
  <si>
    <t>(должность)</t>
  </si>
  <si>
    <t xml:space="preserve">   3 июня 2020 г.   </t>
  </si>
  <si>
    <t>Форма 0503117 с.1</t>
  </si>
  <si>
    <t>ведущий специалист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</si>
</sst>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zoomScalePageLayoutView="0" workbookViewId="0" topLeftCell="A127">
      <selection activeCell="T161" sqref="T16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43983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30509826.76</f>
        <v>30509826.76</v>
      </c>
      <c r="T12" s="21"/>
      <c r="U12" s="21"/>
      <c r="V12" s="21">
        <f>16719720.76</f>
        <v>16719720.76</v>
      </c>
      <c r="W12" s="21"/>
      <c r="X12" s="21"/>
      <c r="Y12" s="21"/>
      <c r="Z12" s="21"/>
      <c r="AA12" s="22">
        <f>13790106</f>
        <v>13790106</v>
      </c>
      <c r="AB12" s="22"/>
      <c r="AC12" s="22"/>
    </row>
    <row r="13" spans="1:29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322000</f>
        <v>322000</v>
      </c>
      <c r="T13" s="25"/>
      <c r="U13" s="25"/>
      <c r="V13" s="25">
        <f>137268.16</f>
        <v>137268.16</v>
      </c>
      <c r="W13" s="25"/>
      <c r="X13" s="25"/>
      <c r="Y13" s="25"/>
      <c r="Z13" s="25"/>
      <c r="AA13" s="26">
        <f>184731.84</f>
        <v>184731.84</v>
      </c>
      <c r="AB13" s="26"/>
      <c r="AC13" s="26"/>
    </row>
    <row r="14" spans="1:29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2100</f>
        <v>2100</v>
      </c>
      <c r="T14" s="25"/>
      <c r="U14" s="25"/>
      <c r="V14" s="25">
        <f>874.19</f>
        <v>874.19</v>
      </c>
      <c r="W14" s="25"/>
      <c r="X14" s="25"/>
      <c r="Y14" s="25"/>
      <c r="Z14" s="25"/>
      <c r="AA14" s="26">
        <f>1225.81</f>
        <v>1225.81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564500</f>
        <v>564500</v>
      </c>
      <c r="T15" s="25"/>
      <c r="U15" s="25"/>
      <c r="V15" s="25">
        <f>182484.14</f>
        <v>182484.14</v>
      </c>
      <c r="W15" s="25"/>
      <c r="X15" s="25"/>
      <c r="Y15" s="25"/>
      <c r="Z15" s="25"/>
      <c r="AA15" s="26">
        <f>382015.86</f>
        <v>382015.86</v>
      </c>
      <c r="AB15" s="26"/>
      <c r="AC15" s="26"/>
    </row>
    <row r="16" spans="1:29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7" t="s">
        <v>45</v>
      </c>
      <c r="T16" s="27"/>
      <c r="U16" s="27"/>
      <c r="V16" s="25">
        <f>-28760.65</f>
        <v>-28760.65</v>
      </c>
      <c r="W16" s="25"/>
      <c r="X16" s="25"/>
      <c r="Y16" s="25"/>
      <c r="Z16" s="25"/>
      <c r="AA16" s="28" t="s">
        <v>45</v>
      </c>
      <c r="AB16" s="28"/>
      <c r="AC16" s="28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1500000</f>
        <v>1500000</v>
      </c>
      <c r="T17" s="25"/>
      <c r="U17" s="25"/>
      <c r="V17" s="25">
        <f>730941.5</f>
        <v>730941.5</v>
      </c>
      <c r="W17" s="25"/>
      <c r="X17" s="25"/>
      <c r="Y17" s="25"/>
      <c r="Z17" s="25"/>
      <c r="AA17" s="26">
        <f>769058.5</f>
        <v>769058.5</v>
      </c>
      <c r="AB17" s="26"/>
      <c r="AC17" s="26"/>
    </row>
    <row r="18" spans="1:29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7" t="s">
        <v>45</v>
      </c>
      <c r="T18" s="27"/>
      <c r="U18" s="27"/>
      <c r="V18" s="25">
        <f>1954.26</f>
        <v>1954.26</v>
      </c>
      <c r="W18" s="25"/>
      <c r="X18" s="25"/>
      <c r="Y18" s="25"/>
      <c r="Z18" s="25"/>
      <c r="AA18" s="28" t="s">
        <v>45</v>
      </c>
      <c r="AB18" s="28"/>
      <c r="AC18" s="28"/>
    </row>
    <row r="19" spans="1:29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128200</f>
        <v>128200</v>
      </c>
      <c r="T19" s="25"/>
      <c r="U19" s="25"/>
      <c r="V19" s="25">
        <f>18456</f>
        <v>18456</v>
      </c>
      <c r="W19" s="25"/>
      <c r="X19" s="25"/>
      <c r="Y19" s="25"/>
      <c r="Z19" s="25"/>
      <c r="AA19" s="26">
        <f>109744</f>
        <v>109744</v>
      </c>
      <c r="AB19" s="26"/>
      <c r="AC19" s="26"/>
    </row>
    <row r="20" spans="1:29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93500</f>
        <v>93500</v>
      </c>
      <c r="T20" s="25"/>
      <c r="U20" s="25"/>
      <c r="V20" s="27" t="s">
        <v>45</v>
      </c>
      <c r="W20" s="27"/>
      <c r="X20" s="27"/>
      <c r="Y20" s="27"/>
      <c r="Z20" s="27"/>
      <c r="AA20" s="26">
        <f>93500</f>
        <v>93500</v>
      </c>
      <c r="AB20" s="26"/>
      <c r="AC20" s="26"/>
    </row>
    <row r="21" spans="1:29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71300</f>
        <v>71300</v>
      </c>
      <c r="T21" s="25"/>
      <c r="U21" s="25"/>
      <c r="V21" s="25">
        <f>6261.25</f>
        <v>6261.25</v>
      </c>
      <c r="W21" s="25"/>
      <c r="X21" s="25"/>
      <c r="Y21" s="25"/>
      <c r="Z21" s="25"/>
      <c r="AA21" s="26">
        <f>65038.75</f>
        <v>65038.75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4700</f>
        <v>4700</v>
      </c>
      <c r="T22" s="25"/>
      <c r="U22" s="25"/>
      <c r="V22" s="25">
        <f>643.8</f>
        <v>643.8</v>
      </c>
      <c r="W22" s="25"/>
      <c r="X22" s="25"/>
      <c r="Y22" s="25"/>
      <c r="Z22" s="25"/>
      <c r="AA22" s="26">
        <f>4056.2</f>
        <v>4056.2</v>
      </c>
      <c r="AB22" s="26"/>
      <c r="AC22" s="26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4900</f>
        <v>4900</v>
      </c>
      <c r="T23" s="25"/>
      <c r="U23" s="25"/>
      <c r="V23" s="25">
        <f>1211.56</f>
        <v>1211.56</v>
      </c>
      <c r="W23" s="25"/>
      <c r="X23" s="25"/>
      <c r="Y23" s="25"/>
      <c r="Z23" s="25"/>
      <c r="AA23" s="26">
        <f>3688.44</f>
        <v>3688.44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1900</f>
        <v>1900</v>
      </c>
      <c r="T24" s="25"/>
      <c r="U24" s="25"/>
      <c r="V24" s="25">
        <f>26235</f>
        <v>26235</v>
      </c>
      <c r="W24" s="25"/>
      <c r="X24" s="25"/>
      <c r="Y24" s="25"/>
      <c r="Z24" s="25"/>
      <c r="AA24" s="28" t="s">
        <v>45</v>
      </c>
      <c r="AB24" s="28"/>
      <c r="AC24" s="28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5500</f>
        <v>5500</v>
      </c>
      <c r="T25" s="25"/>
      <c r="U25" s="25"/>
      <c r="V25" s="25">
        <f>1188.17</f>
        <v>1188.17</v>
      </c>
      <c r="W25" s="25"/>
      <c r="X25" s="25"/>
      <c r="Y25" s="25"/>
      <c r="Z25" s="25"/>
      <c r="AA25" s="26">
        <f>4311.83</f>
        <v>4311.83</v>
      </c>
      <c r="AB25" s="26"/>
      <c r="AC25" s="26"/>
    </row>
    <row r="26" spans="1:29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2000</f>
        <v>2000</v>
      </c>
      <c r="T26" s="25"/>
      <c r="U26" s="25"/>
      <c r="V26" s="25">
        <f>500</f>
        <v>500</v>
      </c>
      <c r="W26" s="25"/>
      <c r="X26" s="25"/>
      <c r="Y26" s="25"/>
      <c r="Z26" s="25"/>
      <c r="AA26" s="26">
        <f>1500</f>
        <v>1500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269800</f>
        <v>269800</v>
      </c>
      <c r="T27" s="25"/>
      <c r="U27" s="25"/>
      <c r="V27" s="25">
        <f>113537.89</f>
        <v>113537.89</v>
      </c>
      <c r="W27" s="25"/>
      <c r="X27" s="25"/>
      <c r="Y27" s="25"/>
      <c r="Z27" s="25"/>
      <c r="AA27" s="26">
        <f>156262.11</f>
        <v>156262.11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134100</f>
        <v>134100</v>
      </c>
      <c r="T28" s="25"/>
      <c r="U28" s="25"/>
      <c r="V28" s="25">
        <f>46208.48</f>
        <v>46208.48</v>
      </c>
      <c r="W28" s="25"/>
      <c r="X28" s="25"/>
      <c r="Y28" s="25"/>
      <c r="Z28" s="25"/>
      <c r="AA28" s="26">
        <f>87891.52</f>
        <v>87891.52</v>
      </c>
      <c r="AB28" s="26"/>
      <c r="AC28" s="26"/>
    </row>
    <row r="29" spans="1:29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7" t="s">
        <v>45</v>
      </c>
      <c r="T29" s="27"/>
      <c r="U29" s="27"/>
      <c r="V29" s="25">
        <f>53798.08</f>
        <v>53798.08</v>
      </c>
      <c r="W29" s="25"/>
      <c r="X29" s="25"/>
      <c r="Y29" s="25"/>
      <c r="Z29" s="25"/>
      <c r="AA29" s="28" t="s">
        <v>45</v>
      </c>
      <c r="AB29" s="28"/>
      <c r="AC29" s="28"/>
    </row>
    <row r="30" spans="1:29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7" t="s">
        <v>45</v>
      </c>
      <c r="T30" s="27"/>
      <c r="U30" s="27"/>
      <c r="V30" s="25">
        <f>31968</f>
        <v>31968</v>
      </c>
      <c r="W30" s="25"/>
      <c r="X30" s="25"/>
      <c r="Y30" s="25"/>
      <c r="Z30" s="25"/>
      <c r="AA30" s="28" t="s">
        <v>45</v>
      </c>
      <c r="AB30" s="28"/>
      <c r="AC30" s="28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6882700</f>
        <v>6882700</v>
      </c>
      <c r="T31" s="25"/>
      <c r="U31" s="25"/>
      <c r="V31" s="25">
        <f>3685204</f>
        <v>3685204</v>
      </c>
      <c r="W31" s="25"/>
      <c r="X31" s="25"/>
      <c r="Y31" s="25"/>
      <c r="Z31" s="25"/>
      <c r="AA31" s="26">
        <f>3197496</f>
        <v>3197496</v>
      </c>
      <c r="AB31" s="26"/>
      <c r="AC31" s="26"/>
    </row>
    <row r="32" spans="1:29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4826.09</f>
        <v>4826.09</v>
      </c>
      <c r="T32" s="25"/>
      <c r="U32" s="25"/>
      <c r="V32" s="27" t="s">
        <v>45</v>
      </c>
      <c r="W32" s="27"/>
      <c r="X32" s="27"/>
      <c r="Y32" s="27"/>
      <c r="Z32" s="27"/>
      <c r="AA32" s="26">
        <f>4826.09</f>
        <v>4826.09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12888.48</f>
        <v>12888.48</v>
      </c>
      <c r="T33" s="25"/>
      <c r="U33" s="25"/>
      <c r="V33" s="25">
        <f>12888.48</f>
        <v>12888.48</v>
      </c>
      <c r="W33" s="25"/>
      <c r="X33" s="25"/>
      <c r="Y33" s="25"/>
      <c r="Z33" s="25"/>
      <c r="AA33" s="26">
        <f>0</f>
        <v>0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109500</f>
        <v>109500</v>
      </c>
      <c r="T34" s="25"/>
      <c r="U34" s="25"/>
      <c r="V34" s="25">
        <f>34938.21</f>
        <v>34938.21</v>
      </c>
      <c r="W34" s="25"/>
      <c r="X34" s="25"/>
      <c r="Y34" s="25"/>
      <c r="Z34" s="25"/>
      <c r="AA34" s="26">
        <f>74561.79</f>
        <v>74561.79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5000</f>
        <v>5000</v>
      </c>
      <c r="T35" s="25"/>
      <c r="U35" s="25"/>
      <c r="V35" s="25">
        <f>1000</f>
        <v>1000</v>
      </c>
      <c r="W35" s="25"/>
      <c r="X35" s="25"/>
      <c r="Y35" s="25"/>
      <c r="Z35" s="25"/>
      <c r="AA35" s="26">
        <f>4000</f>
        <v>4000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20390412.19</f>
        <v>20390412.19</v>
      </c>
      <c r="T36" s="25"/>
      <c r="U36" s="25"/>
      <c r="V36" s="25">
        <f>11660920.24</f>
        <v>11660920.24</v>
      </c>
      <c r="W36" s="25"/>
      <c r="X36" s="25"/>
      <c r="Y36" s="25"/>
      <c r="Z36" s="25"/>
      <c r="AA36" s="26">
        <f>8729491.95</f>
        <v>8729491.95</v>
      </c>
      <c r="AB36" s="26"/>
      <c r="AC36" s="26"/>
    </row>
    <row r="37" spans="1:29" s="1" customFormat="1" ht="13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23</v>
      </c>
      <c r="M39" s="13"/>
      <c r="N39" s="13"/>
      <c r="O39" s="13" t="s">
        <v>87</v>
      </c>
      <c r="P39" s="13"/>
      <c r="Q39" s="13"/>
      <c r="R39" s="14" t="s">
        <v>88</v>
      </c>
      <c r="S39" s="14"/>
      <c r="T39" s="14" t="s">
        <v>25</v>
      </c>
      <c r="U39" s="14"/>
      <c r="V39" s="14"/>
      <c r="W39" s="14" t="s">
        <v>26</v>
      </c>
      <c r="X39" s="14"/>
      <c r="Y39" s="14"/>
      <c r="Z39" s="14"/>
      <c r="AA39" s="14"/>
      <c r="AB39" s="15" t="s">
        <v>27</v>
      </c>
      <c r="AC39" s="15"/>
    </row>
    <row r="40" spans="1:29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29</v>
      </c>
      <c r="M40" s="16"/>
      <c r="N40" s="16"/>
      <c r="O40" s="16" t="s">
        <v>30</v>
      </c>
      <c r="P40" s="16"/>
      <c r="Q40" s="16"/>
      <c r="R40" s="17" t="s">
        <v>31</v>
      </c>
      <c r="S40" s="17"/>
      <c r="T40" s="17" t="s">
        <v>32</v>
      </c>
      <c r="U40" s="17"/>
      <c r="V40" s="17"/>
      <c r="W40" s="17" t="s">
        <v>33</v>
      </c>
      <c r="X40" s="17"/>
      <c r="Y40" s="17"/>
      <c r="Z40" s="17"/>
      <c r="AA40" s="17"/>
      <c r="AB40" s="18" t="s">
        <v>89</v>
      </c>
      <c r="AC40" s="18"/>
    </row>
    <row r="41" spans="1:29" s="1" customFormat="1" ht="13.5" customHeight="1">
      <c r="A41" s="19" t="s">
        <v>90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91</v>
      </c>
      <c r="M41" s="20"/>
      <c r="N41" s="20"/>
      <c r="O41" s="20" t="s">
        <v>36</v>
      </c>
      <c r="P41" s="20"/>
      <c r="Q41" s="20"/>
      <c r="R41" s="30" t="s">
        <v>36</v>
      </c>
      <c r="S41" s="30"/>
      <c r="T41" s="21">
        <f>31546938.05</f>
        <v>31546938.05</v>
      </c>
      <c r="U41" s="21"/>
      <c r="V41" s="21"/>
      <c r="W41" s="21">
        <f>14651672.88</f>
        <v>14651672.88</v>
      </c>
      <c r="X41" s="21"/>
      <c r="Y41" s="21"/>
      <c r="Z41" s="21"/>
      <c r="AA41" s="21"/>
      <c r="AB41" s="22">
        <f>16895265.17</f>
        <v>16895265.17</v>
      </c>
      <c r="AC41" s="22"/>
    </row>
    <row r="42" spans="1:29" s="1" customFormat="1" ht="13.5" customHeight="1">
      <c r="A42" s="31" t="s">
        <v>92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91</v>
      </c>
      <c r="M42" s="32"/>
      <c r="N42" s="32"/>
      <c r="O42" s="32" t="s">
        <v>93</v>
      </c>
      <c r="P42" s="32"/>
      <c r="Q42" s="32"/>
      <c r="R42" s="33" t="s">
        <v>94</v>
      </c>
      <c r="S42" s="33"/>
      <c r="T42" s="34">
        <f>820000</f>
        <v>820000</v>
      </c>
      <c r="U42" s="34"/>
      <c r="V42" s="34"/>
      <c r="W42" s="34">
        <f>403086.13</f>
        <v>403086.13</v>
      </c>
      <c r="X42" s="34"/>
      <c r="Y42" s="34"/>
      <c r="Z42" s="34"/>
      <c r="AA42" s="34"/>
      <c r="AB42" s="35">
        <f>416913.87</f>
        <v>416913.87</v>
      </c>
      <c r="AC42" s="35"/>
    </row>
    <row r="43" spans="1:29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91</v>
      </c>
      <c r="M43" s="32"/>
      <c r="N43" s="32"/>
      <c r="O43" s="32" t="s">
        <v>93</v>
      </c>
      <c r="P43" s="32"/>
      <c r="Q43" s="32"/>
      <c r="R43" s="33" t="s">
        <v>96</v>
      </c>
      <c r="S43" s="33"/>
      <c r="T43" s="34">
        <f>10000</f>
        <v>10000</v>
      </c>
      <c r="U43" s="34"/>
      <c r="V43" s="34"/>
      <c r="W43" s="36" t="s">
        <v>45</v>
      </c>
      <c r="X43" s="36"/>
      <c r="Y43" s="36"/>
      <c r="Z43" s="36"/>
      <c r="AA43" s="36"/>
      <c r="AB43" s="35">
        <f>10000</f>
        <v>10000</v>
      </c>
      <c r="AC43" s="35"/>
    </row>
    <row r="44" spans="1:29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91</v>
      </c>
      <c r="M44" s="32"/>
      <c r="N44" s="32"/>
      <c r="O44" s="32" t="s">
        <v>98</v>
      </c>
      <c r="P44" s="32"/>
      <c r="Q44" s="32"/>
      <c r="R44" s="33" t="s">
        <v>99</v>
      </c>
      <c r="S44" s="33"/>
      <c r="T44" s="34">
        <f>129606.8</f>
        <v>129606.8</v>
      </c>
      <c r="U44" s="34"/>
      <c r="V44" s="34"/>
      <c r="W44" s="34">
        <f>129606.8</f>
        <v>129606.8</v>
      </c>
      <c r="X44" s="34"/>
      <c r="Y44" s="34"/>
      <c r="Z44" s="34"/>
      <c r="AA44" s="34"/>
      <c r="AB44" s="35">
        <f>0</f>
        <v>0</v>
      </c>
      <c r="AC44" s="35"/>
    </row>
    <row r="45" spans="1:29" s="1" customFormat="1" ht="13.5" customHeight="1">
      <c r="A45" s="31" t="s">
        <v>100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91</v>
      </c>
      <c r="M45" s="32"/>
      <c r="N45" s="32"/>
      <c r="O45" s="32" t="s">
        <v>101</v>
      </c>
      <c r="P45" s="32"/>
      <c r="Q45" s="32"/>
      <c r="R45" s="33" t="s">
        <v>102</v>
      </c>
      <c r="S45" s="33"/>
      <c r="T45" s="34">
        <f>213393.2</f>
        <v>213393.2</v>
      </c>
      <c r="U45" s="34"/>
      <c r="V45" s="34"/>
      <c r="W45" s="34">
        <f>155935.56</f>
        <v>155935.56</v>
      </c>
      <c r="X45" s="34"/>
      <c r="Y45" s="34"/>
      <c r="Z45" s="34"/>
      <c r="AA45" s="34"/>
      <c r="AB45" s="35">
        <f>57457.64</f>
        <v>57457.64</v>
      </c>
      <c r="AC45" s="35"/>
    </row>
    <row r="46" spans="1:29" s="1" customFormat="1" ht="13.5" customHeight="1">
      <c r="A46" s="31" t="s">
        <v>92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91</v>
      </c>
      <c r="M46" s="32"/>
      <c r="N46" s="32"/>
      <c r="O46" s="32" t="s">
        <v>103</v>
      </c>
      <c r="P46" s="32"/>
      <c r="Q46" s="32"/>
      <c r="R46" s="33" t="s">
        <v>94</v>
      </c>
      <c r="S46" s="33"/>
      <c r="T46" s="34">
        <f>2095380.34</f>
        <v>2095380.34</v>
      </c>
      <c r="U46" s="34"/>
      <c r="V46" s="34"/>
      <c r="W46" s="34">
        <f>754367.44</f>
        <v>754367.44</v>
      </c>
      <c r="X46" s="34"/>
      <c r="Y46" s="34"/>
      <c r="Z46" s="34"/>
      <c r="AA46" s="34"/>
      <c r="AB46" s="35">
        <f>1341012.9</f>
        <v>1341012.9</v>
      </c>
      <c r="AC46" s="35"/>
    </row>
    <row r="47" spans="1:29" s="1" customFormat="1" ht="13.5" customHeight="1">
      <c r="A47" s="31" t="s">
        <v>95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91</v>
      </c>
      <c r="M47" s="32"/>
      <c r="N47" s="32"/>
      <c r="O47" s="32" t="s">
        <v>103</v>
      </c>
      <c r="P47" s="32"/>
      <c r="Q47" s="32"/>
      <c r="R47" s="33" t="s">
        <v>96</v>
      </c>
      <c r="S47" s="33"/>
      <c r="T47" s="34">
        <f>15000</f>
        <v>15000</v>
      </c>
      <c r="U47" s="34"/>
      <c r="V47" s="34"/>
      <c r="W47" s="34">
        <f>10852.86</f>
        <v>10852.86</v>
      </c>
      <c r="X47" s="34"/>
      <c r="Y47" s="34"/>
      <c r="Z47" s="34"/>
      <c r="AA47" s="34"/>
      <c r="AB47" s="35">
        <f>4147.14</f>
        <v>4147.14</v>
      </c>
      <c r="AC47" s="35"/>
    </row>
    <row r="48" spans="1:29" s="1" customFormat="1" ht="13.5" customHeight="1">
      <c r="A48" s="31" t="s">
        <v>97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91</v>
      </c>
      <c r="M48" s="32"/>
      <c r="N48" s="32"/>
      <c r="O48" s="32" t="s">
        <v>104</v>
      </c>
      <c r="P48" s="32"/>
      <c r="Q48" s="32"/>
      <c r="R48" s="33" t="s">
        <v>99</v>
      </c>
      <c r="S48" s="33"/>
      <c r="T48" s="34">
        <f>295000</f>
        <v>295000</v>
      </c>
      <c r="U48" s="34"/>
      <c r="V48" s="34"/>
      <c r="W48" s="34">
        <f>50000</f>
        <v>50000</v>
      </c>
      <c r="X48" s="34"/>
      <c r="Y48" s="34"/>
      <c r="Z48" s="34"/>
      <c r="AA48" s="34"/>
      <c r="AB48" s="35">
        <f>245000</f>
        <v>245000</v>
      </c>
      <c r="AC48" s="35"/>
    </row>
    <row r="49" spans="1:29" s="1" customFormat="1" ht="13.5" customHeight="1">
      <c r="A49" s="31" t="s">
        <v>105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91</v>
      </c>
      <c r="M49" s="32"/>
      <c r="N49" s="32"/>
      <c r="O49" s="32" t="s">
        <v>104</v>
      </c>
      <c r="P49" s="32"/>
      <c r="Q49" s="32"/>
      <c r="R49" s="33" t="s">
        <v>106</v>
      </c>
      <c r="S49" s="33"/>
      <c r="T49" s="34">
        <f>180470.08</f>
        <v>180470.08</v>
      </c>
      <c r="U49" s="34"/>
      <c r="V49" s="34"/>
      <c r="W49" s="36" t="s">
        <v>45</v>
      </c>
      <c r="X49" s="36"/>
      <c r="Y49" s="36"/>
      <c r="Z49" s="36"/>
      <c r="AA49" s="36"/>
      <c r="AB49" s="35">
        <f>180470.08</f>
        <v>180470.08</v>
      </c>
      <c r="AC49" s="35"/>
    </row>
    <row r="50" spans="1:29" s="1" customFormat="1" ht="13.5" customHeight="1">
      <c r="A50" s="31" t="s">
        <v>100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91</v>
      </c>
      <c r="M50" s="32"/>
      <c r="N50" s="32"/>
      <c r="O50" s="32" t="s">
        <v>107</v>
      </c>
      <c r="P50" s="32"/>
      <c r="Q50" s="32"/>
      <c r="R50" s="33" t="s">
        <v>102</v>
      </c>
      <c r="S50" s="33"/>
      <c r="T50" s="34">
        <f>592792.98</f>
        <v>592792.98</v>
      </c>
      <c r="U50" s="34"/>
      <c r="V50" s="34"/>
      <c r="W50" s="34">
        <f>199079.91</f>
        <v>199079.91</v>
      </c>
      <c r="X50" s="34"/>
      <c r="Y50" s="34"/>
      <c r="Z50" s="34"/>
      <c r="AA50" s="34"/>
      <c r="AB50" s="35">
        <f>393713.07</f>
        <v>393713.07</v>
      </c>
      <c r="AC50" s="35"/>
    </row>
    <row r="51" spans="1:29" s="1" customFormat="1" ht="13.5" customHeight="1">
      <c r="A51" s="31" t="s">
        <v>92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91</v>
      </c>
      <c r="M51" s="32"/>
      <c r="N51" s="32"/>
      <c r="O51" s="32" t="s">
        <v>108</v>
      </c>
      <c r="P51" s="32"/>
      <c r="Q51" s="32"/>
      <c r="R51" s="33" t="s">
        <v>94</v>
      </c>
      <c r="S51" s="33"/>
      <c r="T51" s="34">
        <f>824619.66</f>
        <v>824619.66</v>
      </c>
      <c r="U51" s="34"/>
      <c r="V51" s="34"/>
      <c r="W51" s="34">
        <f>824619.66</f>
        <v>824619.66</v>
      </c>
      <c r="X51" s="34"/>
      <c r="Y51" s="34"/>
      <c r="Z51" s="34"/>
      <c r="AA51" s="34"/>
      <c r="AB51" s="35">
        <f>0</f>
        <v>0</v>
      </c>
      <c r="AC51" s="35"/>
    </row>
    <row r="52" spans="1:29" s="1" customFormat="1" ht="13.5" customHeight="1">
      <c r="A52" s="31" t="s">
        <v>97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91</v>
      </c>
      <c r="M52" s="32"/>
      <c r="N52" s="32"/>
      <c r="O52" s="32" t="s">
        <v>109</v>
      </c>
      <c r="P52" s="32"/>
      <c r="Q52" s="32"/>
      <c r="R52" s="33" t="s">
        <v>99</v>
      </c>
      <c r="S52" s="33"/>
      <c r="T52" s="34">
        <f>65000</f>
        <v>65000</v>
      </c>
      <c r="U52" s="34"/>
      <c r="V52" s="34"/>
      <c r="W52" s="34">
        <f>65000</f>
        <v>65000</v>
      </c>
      <c r="X52" s="34"/>
      <c r="Y52" s="34"/>
      <c r="Z52" s="34"/>
      <c r="AA52" s="34"/>
      <c r="AB52" s="35">
        <f>0</f>
        <v>0</v>
      </c>
      <c r="AC52" s="35"/>
    </row>
    <row r="53" spans="1:29" s="1" customFormat="1" ht="13.5" customHeight="1">
      <c r="A53" s="31" t="s">
        <v>100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91</v>
      </c>
      <c r="M53" s="32"/>
      <c r="N53" s="32"/>
      <c r="O53" s="32" t="s">
        <v>110</v>
      </c>
      <c r="P53" s="32"/>
      <c r="Q53" s="32"/>
      <c r="R53" s="33" t="s">
        <v>102</v>
      </c>
      <c r="S53" s="33"/>
      <c r="T53" s="34">
        <f>272207.02</f>
        <v>272207.02</v>
      </c>
      <c r="U53" s="34"/>
      <c r="V53" s="34"/>
      <c r="W53" s="34">
        <f>265766.05</f>
        <v>265766.05</v>
      </c>
      <c r="X53" s="34"/>
      <c r="Y53" s="34"/>
      <c r="Z53" s="34"/>
      <c r="AA53" s="34"/>
      <c r="AB53" s="35">
        <f>6440.97</f>
        <v>6440.97</v>
      </c>
      <c r="AC53" s="35"/>
    </row>
    <row r="54" spans="1:29" s="1" customFormat="1" ht="13.5" customHeight="1">
      <c r="A54" s="31" t="s">
        <v>111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91</v>
      </c>
      <c r="M54" s="32"/>
      <c r="N54" s="32"/>
      <c r="O54" s="32" t="s">
        <v>112</v>
      </c>
      <c r="P54" s="32"/>
      <c r="Q54" s="32"/>
      <c r="R54" s="33" t="s">
        <v>91</v>
      </c>
      <c r="S54" s="33"/>
      <c r="T54" s="34">
        <f>91000</f>
        <v>91000</v>
      </c>
      <c r="U54" s="34"/>
      <c r="V54" s="34"/>
      <c r="W54" s="36" t="s">
        <v>45</v>
      </c>
      <c r="X54" s="36"/>
      <c r="Y54" s="36"/>
      <c r="Z54" s="36"/>
      <c r="AA54" s="36"/>
      <c r="AB54" s="35">
        <f>91000</f>
        <v>91000</v>
      </c>
      <c r="AC54" s="35"/>
    </row>
    <row r="55" spans="1:29" s="1" customFormat="1" ht="13.5" customHeight="1">
      <c r="A55" s="31" t="s">
        <v>92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91</v>
      </c>
      <c r="M55" s="32"/>
      <c r="N55" s="32"/>
      <c r="O55" s="32" t="s">
        <v>113</v>
      </c>
      <c r="P55" s="32"/>
      <c r="Q55" s="32"/>
      <c r="R55" s="33" t="s">
        <v>94</v>
      </c>
      <c r="S55" s="33"/>
      <c r="T55" s="34">
        <f>4283053.25</f>
        <v>4283053.25</v>
      </c>
      <c r="U55" s="34"/>
      <c r="V55" s="34"/>
      <c r="W55" s="34">
        <f>755146.92</f>
        <v>755146.92</v>
      </c>
      <c r="X55" s="34"/>
      <c r="Y55" s="34"/>
      <c r="Z55" s="34"/>
      <c r="AA55" s="34"/>
      <c r="AB55" s="35">
        <f>3527906.33</f>
        <v>3527906.33</v>
      </c>
      <c r="AC55" s="35"/>
    </row>
    <row r="56" spans="1:29" s="1" customFormat="1" ht="13.5" customHeight="1">
      <c r="A56" s="31" t="s">
        <v>95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91</v>
      </c>
      <c r="M56" s="32"/>
      <c r="N56" s="32"/>
      <c r="O56" s="32" t="s">
        <v>113</v>
      </c>
      <c r="P56" s="32"/>
      <c r="Q56" s="32"/>
      <c r="R56" s="33" t="s">
        <v>96</v>
      </c>
      <c r="S56" s="33"/>
      <c r="T56" s="34">
        <f>10000</f>
        <v>10000</v>
      </c>
      <c r="U56" s="34"/>
      <c r="V56" s="34"/>
      <c r="W56" s="36" t="s">
        <v>45</v>
      </c>
      <c r="X56" s="36"/>
      <c r="Y56" s="36"/>
      <c r="Z56" s="36"/>
      <c r="AA56" s="36"/>
      <c r="AB56" s="35">
        <f>10000</f>
        <v>10000</v>
      </c>
      <c r="AC56" s="35"/>
    </row>
    <row r="57" spans="1:29" s="1" customFormat="1" ht="13.5" customHeight="1">
      <c r="A57" s="31" t="s">
        <v>105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91</v>
      </c>
      <c r="M57" s="32"/>
      <c r="N57" s="32"/>
      <c r="O57" s="32" t="s">
        <v>114</v>
      </c>
      <c r="P57" s="32"/>
      <c r="Q57" s="32"/>
      <c r="R57" s="33" t="s">
        <v>106</v>
      </c>
      <c r="S57" s="33"/>
      <c r="T57" s="34">
        <f>5000</f>
        <v>5000</v>
      </c>
      <c r="U57" s="34"/>
      <c r="V57" s="34"/>
      <c r="W57" s="34">
        <f>5000</f>
        <v>5000</v>
      </c>
      <c r="X57" s="34"/>
      <c r="Y57" s="34"/>
      <c r="Z57" s="34"/>
      <c r="AA57" s="34"/>
      <c r="AB57" s="35">
        <f>0</f>
        <v>0</v>
      </c>
      <c r="AC57" s="35"/>
    </row>
    <row r="58" spans="1:29" s="1" customFormat="1" ht="13.5" customHeight="1">
      <c r="A58" s="31" t="s">
        <v>100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91</v>
      </c>
      <c r="M58" s="32"/>
      <c r="N58" s="32"/>
      <c r="O58" s="32" t="s">
        <v>115</v>
      </c>
      <c r="P58" s="32"/>
      <c r="Q58" s="32"/>
      <c r="R58" s="33" t="s">
        <v>102</v>
      </c>
      <c r="S58" s="33"/>
      <c r="T58" s="34">
        <f>1312090.8</f>
        <v>1312090.8</v>
      </c>
      <c r="U58" s="34"/>
      <c r="V58" s="34"/>
      <c r="W58" s="34">
        <f>228001.83</f>
        <v>228001.83</v>
      </c>
      <c r="X58" s="34"/>
      <c r="Y58" s="34"/>
      <c r="Z58" s="34"/>
      <c r="AA58" s="34"/>
      <c r="AB58" s="35">
        <f>1084088.97</f>
        <v>1084088.97</v>
      </c>
      <c r="AC58" s="35"/>
    </row>
    <row r="59" spans="1:29" s="1" customFormat="1" ht="13.5" customHeight="1">
      <c r="A59" s="31" t="s">
        <v>116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91</v>
      </c>
      <c r="M59" s="32"/>
      <c r="N59" s="32"/>
      <c r="O59" s="32" t="s">
        <v>117</v>
      </c>
      <c r="P59" s="32"/>
      <c r="Q59" s="32"/>
      <c r="R59" s="33" t="s">
        <v>118</v>
      </c>
      <c r="S59" s="33"/>
      <c r="T59" s="34">
        <f>85139.32</f>
        <v>85139.32</v>
      </c>
      <c r="U59" s="34"/>
      <c r="V59" s="34"/>
      <c r="W59" s="34">
        <f>40493.52</f>
        <v>40493.52</v>
      </c>
      <c r="X59" s="34"/>
      <c r="Y59" s="34"/>
      <c r="Z59" s="34"/>
      <c r="AA59" s="34"/>
      <c r="AB59" s="35">
        <f>44645.8</f>
        <v>44645.8</v>
      </c>
      <c r="AC59" s="35"/>
    </row>
    <row r="60" spans="1:29" s="1" customFormat="1" ht="13.5" customHeight="1">
      <c r="A60" s="31" t="s">
        <v>119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91</v>
      </c>
      <c r="M60" s="32"/>
      <c r="N60" s="32"/>
      <c r="O60" s="32" t="s">
        <v>117</v>
      </c>
      <c r="P60" s="32"/>
      <c r="Q60" s="32"/>
      <c r="R60" s="33" t="s">
        <v>120</v>
      </c>
      <c r="S60" s="33"/>
      <c r="T60" s="34">
        <f>99000</f>
        <v>99000</v>
      </c>
      <c r="U60" s="34"/>
      <c r="V60" s="34"/>
      <c r="W60" s="34">
        <f>26713.71</f>
        <v>26713.71</v>
      </c>
      <c r="X60" s="34"/>
      <c r="Y60" s="34"/>
      <c r="Z60" s="34"/>
      <c r="AA60" s="34"/>
      <c r="AB60" s="35">
        <f>72286.29</f>
        <v>72286.29</v>
      </c>
      <c r="AC60" s="35"/>
    </row>
    <row r="61" spans="1:29" s="1" customFormat="1" ht="13.5" customHeight="1">
      <c r="A61" s="31" t="s">
        <v>121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91</v>
      </c>
      <c r="M61" s="32"/>
      <c r="N61" s="32"/>
      <c r="O61" s="32" t="s">
        <v>117</v>
      </c>
      <c r="P61" s="32"/>
      <c r="Q61" s="32"/>
      <c r="R61" s="33" t="s">
        <v>122</v>
      </c>
      <c r="S61" s="33"/>
      <c r="T61" s="34">
        <f>162660.68</f>
        <v>162660.68</v>
      </c>
      <c r="U61" s="34"/>
      <c r="V61" s="34"/>
      <c r="W61" s="34">
        <f>30792.8</f>
        <v>30792.8</v>
      </c>
      <c r="X61" s="34"/>
      <c r="Y61" s="34"/>
      <c r="Z61" s="34"/>
      <c r="AA61" s="34"/>
      <c r="AB61" s="35">
        <f>131867.88</f>
        <v>131867.88</v>
      </c>
      <c r="AC61" s="35"/>
    </row>
    <row r="62" spans="1:29" s="1" customFormat="1" ht="13.5" customHeight="1">
      <c r="A62" s="31" t="s">
        <v>116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91</v>
      </c>
      <c r="M62" s="32"/>
      <c r="N62" s="32"/>
      <c r="O62" s="32" t="s">
        <v>123</v>
      </c>
      <c r="P62" s="32"/>
      <c r="Q62" s="32"/>
      <c r="R62" s="33" t="s">
        <v>118</v>
      </c>
      <c r="S62" s="33"/>
      <c r="T62" s="34">
        <f>15300</f>
        <v>15300</v>
      </c>
      <c r="U62" s="34"/>
      <c r="V62" s="34"/>
      <c r="W62" s="34">
        <f>15000</f>
        <v>15000</v>
      </c>
      <c r="X62" s="34"/>
      <c r="Y62" s="34"/>
      <c r="Z62" s="34"/>
      <c r="AA62" s="34"/>
      <c r="AB62" s="35">
        <f>300</f>
        <v>300</v>
      </c>
      <c r="AC62" s="35"/>
    </row>
    <row r="63" spans="1:29" s="1" customFormat="1" ht="13.5" customHeight="1">
      <c r="A63" s="31" t="s">
        <v>124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91</v>
      </c>
      <c r="M63" s="32"/>
      <c r="N63" s="32"/>
      <c r="O63" s="32" t="s">
        <v>123</v>
      </c>
      <c r="P63" s="32"/>
      <c r="Q63" s="32"/>
      <c r="R63" s="33" t="s">
        <v>125</v>
      </c>
      <c r="S63" s="33"/>
      <c r="T63" s="34">
        <f>58411</f>
        <v>58411</v>
      </c>
      <c r="U63" s="34"/>
      <c r="V63" s="34"/>
      <c r="W63" s="34">
        <f>58411</f>
        <v>58411</v>
      </c>
      <c r="X63" s="34"/>
      <c r="Y63" s="34"/>
      <c r="Z63" s="34"/>
      <c r="AA63" s="34"/>
      <c r="AB63" s="35">
        <f>0</f>
        <v>0</v>
      </c>
      <c r="AC63" s="35"/>
    </row>
    <row r="64" spans="1:29" s="1" customFormat="1" ht="13.5" customHeight="1">
      <c r="A64" s="31" t="s">
        <v>126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91</v>
      </c>
      <c r="M64" s="32"/>
      <c r="N64" s="32"/>
      <c r="O64" s="32" t="s">
        <v>123</v>
      </c>
      <c r="P64" s="32"/>
      <c r="Q64" s="32"/>
      <c r="R64" s="33" t="s">
        <v>127</v>
      </c>
      <c r="S64" s="33"/>
      <c r="T64" s="34">
        <f>884692.24</f>
        <v>884692.24</v>
      </c>
      <c r="U64" s="34"/>
      <c r="V64" s="34"/>
      <c r="W64" s="34">
        <f>249675.04</f>
        <v>249675.04</v>
      </c>
      <c r="X64" s="34"/>
      <c r="Y64" s="34"/>
      <c r="Z64" s="34"/>
      <c r="AA64" s="34"/>
      <c r="AB64" s="35">
        <f>635017.2</f>
        <v>635017.2</v>
      </c>
      <c r="AC64" s="35"/>
    </row>
    <row r="65" spans="1:29" s="1" customFormat="1" ht="13.5" customHeight="1">
      <c r="A65" s="31" t="s">
        <v>119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91</v>
      </c>
      <c r="M65" s="32"/>
      <c r="N65" s="32"/>
      <c r="O65" s="32" t="s">
        <v>123</v>
      </c>
      <c r="P65" s="32"/>
      <c r="Q65" s="32"/>
      <c r="R65" s="33" t="s">
        <v>120</v>
      </c>
      <c r="S65" s="33"/>
      <c r="T65" s="34">
        <f>138136.11</f>
        <v>138136.11</v>
      </c>
      <c r="U65" s="34"/>
      <c r="V65" s="34"/>
      <c r="W65" s="34">
        <f>25148.33</f>
        <v>25148.33</v>
      </c>
      <c r="X65" s="34"/>
      <c r="Y65" s="34"/>
      <c r="Z65" s="34"/>
      <c r="AA65" s="34"/>
      <c r="AB65" s="35">
        <f>112987.78</f>
        <v>112987.78</v>
      </c>
      <c r="AC65" s="35"/>
    </row>
    <row r="66" spans="1:29" s="1" customFormat="1" ht="13.5" customHeight="1">
      <c r="A66" s="31" t="s">
        <v>121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91</v>
      </c>
      <c r="M66" s="32"/>
      <c r="N66" s="32"/>
      <c r="O66" s="32" t="s">
        <v>123</v>
      </c>
      <c r="P66" s="32"/>
      <c r="Q66" s="32"/>
      <c r="R66" s="33" t="s">
        <v>122</v>
      </c>
      <c r="S66" s="33"/>
      <c r="T66" s="34">
        <f>29960</f>
        <v>29960</v>
      </c>
      <c r="U66" s="34"/>
      <c r="V66" s="34"/>
      <c r="W66" s="34">
        <f>3696</f>
        <v>3696</v>
      </c>
      <c r="X66" s="34"/>
      <c r="Y66" s="34"/>
      <c r="Z66" s="34"/>
      <c r="AA66" s="34"/>
      <c r="AB66" s="35">
        <f>26264</f>
        <v>26264</v>
      </c>
      <c r="AC66" s="35"/>
    </row>
    <row r="67" spans="1:29" s="1" customFormat="1" ht="13.5" customHeight="1">
      <c r="A67" s="31" t="s">
        <v>128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91</v>
      </c>
      <c r="M67" s="32"/>
      <c r="N67" s="32"/>
      <c r="O67" s="32" t="s">
        <v>123</v>
      </c>
      <c r="P67" s="32"/>
      <c r="Q67" s="32"/>
      <c r="R67" s="33" t="s">
        <v>129</v>
      </c>
      <c r="S67" s="33"/>
      <c r="T67" s="34">
        <f>38684</f>
        <v>38684</v>
      </c>
      <c r="U67" s="34"/>
      <c r="V67" s="34"/>
      <c r="W67" s="34">
        <f>4822</f>
        <v>4822</v>
      </c>
      <c r="X67" s="34"/>
      <c r="Y67" s="34"/>
      <c r="Z67" s="34"/>
      <c r="AA67" s="34"/>
      <c r="AB67" s="35">
        <f>33862</f>
        <v>33862</v>
      </c>
      <c r="AC67" s="35"/>
    </row>
    <row r="68" spans="1:29" s="1" customFormat="1" ht="13.5" customHeight="1">
      <c r="A68" s="31" t="s">
        <v>130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91</v>
      </c>
      <c r="M68" s="32"/>
      <c r="N68" s="32"/>
      <c r="O68" s="32" t="s">
        <v>123</v>
      </c>
      <c r="P68" s="32"/>
      <c r="Q68" s="32"/>
      <c r="R68" s="33" t="s">
        <v>131</v>
      </c>
      <c r="S68" s="33"/>
      <c r="T68" s="34">
        <f>305499</f>
        <v>305499</v>
      </c>
      <c r="U68" s="34"/>
      <c r="V68" s="34"/>
      <c r="W68" s="34">
        <f>304173</f>
        <v>304173</v>
      </c>
      <c r="X68" s="34"/>
      <c r="Y68" s="34"/>
      <c r="Z68" s="34"/>
      <c r="AA68" s="34"/>
      <c r="AB68" s="35">
        <f>1326</f>
        <v>1326</v>
      </c>
      <c r="AC68" s="35"/>
    </row>
    <row r="69" spans="1:29" s="1" customFormat="1" ht="13.5" customHeight="1">
      <c r="A69" s="31" t="s">
        <v>132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91</v>
      </c>
      <c r="M69" s="32"/>
      <c r="N69" s="32"/>
      <c r="O69" s="32" t="s">
        <v>123</v>
      </c>
      <c r="P69" s="32"/>
      <c r="Q69" s="32"/>
      <c r="R69" s="33" t="s">
        <v>133</v>
      </c>
      <c r="S69" s="33"/>
      <c r="T69" s="34">
        <f>428963.14</f>
        <v>428963.14</v>
      </c>
      <c r="U69" s="34"/>
      <c r="V69" s="34"/>
      <c r="W69" s="34">
        <f>100000</f>
        <v>100000</v>
      </c>
      <c r="X69" s="34"/>
      <c r="Y69" s="34"/>
      <c r="Z69" s="34"/>
      <c r="AA69" s="34"/>
      <c r="AB69" s="35">
        <f>328963.14</f>
        <v>328963.14</v>
      </c>
      <c r="AC69" s="35"/>
    </row>
    <row r="70" spans="1:29" s="1" customFormat="1" ht="13.5" customHeight="1">
      <c r="A70" s="31" t="s">
        <v>134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91</v>
      </c>
      <c r="M70" s="32"/>
      <c r="N70" s="32"/>
      <c r="O70" s="32" t="s">
        <v>123</v>
      </c>
      <c r="P70" s="32"/>
      <c r="Q70" s="32"/>
      <c r="R70" s="33" t="s">
        <v>135</v>
      </c>
      <c r="S70" s="33"/>
      <c r="T70" s="34">
        <f>30000</f>
        <v>30000</v>
      </c>
      <c r="U70" s="34"/>
      <c r="V70" s="34"/>
      <c r="W70" s="36" t="s">
        <v>45</v>
      </c>
      <c r="X70" s="36"/>
      <c r="Y70" s="36"/>
      <c r="Z70" s="36"/>
      <c r="AA70" s="36"/>
      <c r="AB70" s="35">
        <f>30000</f>
        <v>30000</v>
      </c>
      <c r="AC70" s="35"/>
    </row>
    <row r="71" spans="1:29" s="1" customFormat="1" ht="13.5" customHeight="1">
      <c r="A71" s="31" t="s">
        <v>136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91</v>
      </c>
      <c r="M71" s="32"/>
      <c r="N71" s="32"/>
      <c r="O71" s="32" t="s">
        <v>123</v>
      </c>
      <c r="P71" s="32"/>
      <c r="Q71" s="32"/>
      <c r="R71" s="33" t="s">
        <v>137</v>
      </c>
      <c r="S71" s="33"/>
      <c r="T71" s="34">
        <f>268439.94</f>
        <v>268439.94</v>
      </c>
      <c r="U71" s="34"/>
      <c r="V71" s="34"/>
      <c r="W71" s="34">
        <f>26610</f>
        <v>26610</v>
      </c>
      <c r="X71" s="34"/>
      <c r="Y71" s="34"/>
      <c r="Z71" s="34"/>
      <c r="AA71" s="34"/>
      <c r="AB71" s="35">
        <f>241829.94</f>
        <v>241829.94</v>
      </c>
      <c r="AC71" s="35"/>
    </row>
    <row r="72" spans="1:29" s="1" customFormat="1" ht="24" customHeight="1">
      <c r="A72" s="31" t="s">
        <v>138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91</v>
      </c>
      <c r="M72" s="32"/>
      <c r="N72" s="32"/>
      <c r="O72" s="32" t="s">
        <v>123</v>
      </c>
      <c r="P72" s="32"/>
      <c r="Q72" s="32"/>
      <c r="R72" s="33" t="s">
        <v>139</v>
      </c>
      <c r="S72" s="33"/>
      <c r="T72" s="34">
        <f>6600</f>
        <v>6600</v>
      </c>
      <c r="U72" s="34"/>
      <c r="V72" s="34"/>
      <c r="W72" s="34">
        <f>6600</f>
        <v>6600</v>
      </c>
      <c r="X72" s="34"/>
      <c r="Y72" s="34"/>
      <c r="Z72" s="34"/>
      <c r="AA72" s="34"/>
      <c r="AB72" s="35">
        <f>0</f>
        <v>0</v>
      </c>
      <c r="AC72" s="35"/>
    </row>
    <row r="73" spans="1:29" s="1" customFormat="1" ht="13.5" customHeight="1">
      <c r="A73" s="31" t="s">
        <v>140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91</v>
      </c>
      <c r="M73" s="32"/>
      <c r="N73" s="32"/>
      <c r="O73" s="32" t="s">
        <v>141</v>
      </c>
      <c r="P73" s="32"/>
      <c r="Q73" s="32"/>
      <c r="R73" s="33" t="s">
        <v>142</v>
      </c>
      <c r="S73" s="33"/>
      <c r="T73" s="34">
        <f>60700</f>
        <v>60700</v>
      </c>
      <c r="U73" s="34"/>
      <c r="V73" s="34"/>
      <c r="W73" s="34">
        <f>6560</f>
        <v>6560</v>
      </c>
      <c r="X73" s="34"/>
      <c r="Y73" s="34"/>
      <c r="Z73" s="34"/>
      <c r="AA73" s="34"/>
      <c r="AB73" s="35">
        <f>54140</f>
        <v>54140</v>
      </c>
      <c r="AC73" s="35"/>
    </row>
    <row r="74" spans="1:29" s="1" customFormat="1" ht="13.5" customHeight="1">
      <c r="A74" s="31" t="s">
        <v>130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91</v>
      </c>
      <c r="M74" s="32"/>
      <c r="N74" s="32"/>
      <c r="O74" s="32" t="s">
        <v>143</v>
      </c>
      <c r="P74" s="32"/>
      <c r="Q74" s="32"/>
      <c r="R74" s="33" t="s">
        <v>131</v>
      </c>
      <c r="S74" s="33"/>
      <c r="T74" s="34">
        <f>35000</f>
        <v>35000</v>
      </c>
      <c r="U74" s="34"/>
      <c r="V74" s="34"/>
      <c r="W74" s="34">
        <f>26570</f>
        <v>26570</v>
      </c>
      <c r="X74" s="34"/>
      <c r="Y74" s="34"/>
      <c r="Z74" s="34"/>
      <c r="AA74" s="34"/>
      <c r="AB74" s="35">
        <f>8430</f>
        <v>8430</v>
      </c>
      <c r="AC74" s="35"/>
    </row>
    <row r="75" spans="1:29" s="1" customFormat="1" ht="13.5" customHeight="1">
      <c r="A75" s="31" t="s">
        <v>136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91</v>
      </c>
      <c r="M75" s="32"/>
      <c r="N75" s="32"/>
      <c r="O75" s="32" t="s">
        <v>143</v>
      </c>
      <c r="P75" s="32"/>
      <c r="Q75" s="32"/>
      <c r="R75" s="33" t="s">
        <v>137</v>
      </c>
      <c r="S75" s="33"/>
      <c r="T75" s="34">
        <f>15000</f>
        <v>15000</v>
      </c>
      <c r="U75" s="34"/>
      <c r="V75" s="34"/>
      <c r="W75" s="34">
        <f>11480</f>
        <v>11480</v>
      </c>
      <c r="X75" s="34"/>
      <c r="Y75" s="34"/>
      <c r="Z75" s="34"/>
      <c r="AA75" s="34"/>
      <c r="AB75" s="35">
        <f>3520</f>
        <v>3520</v>
      </c>
      <c r="AC75" s="35"/>
    </row>
    <row r="76" spans="1:29" s="1" customFormat="1" ht="13.5" customHeight="1">
      <c r="A76" s="31" t="s">
        <v>92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91</v>
      </c>
      <c r="M76" s="32"/>
      <c r="N76" s="32"/>
      <c r="O76" s="32" t="s">
        <v>144</v>
      </c>
      <c r="P76" s="32"/>
      <c r="Q76" s="32"/>
      <c r="R76" s="33" t="s">
        <v>94</v>
      </c>
      <c r="S76" s="33"/>
      <c r="T76" s="34">
        <f>1377546.35</f>
        <v>1377546.35</v>
      </c>
      <c r="U76" s="34"/>
      <c r="V76" s="34"/>
      <c r="W76" s="34">
        <f>1377546.35</f>
        <v>1377546.35</v>
      </c>
      <c r="X76" s="34"/>
      <c r="Y76" s="34"/>
      <c r="Z76" s="34"/>
      <c r="AA76" s="34"/>
      <c r="AB76" s="35">
        <f>0</f>
        <v>0</v>
      </c>
      <c r="AC76" s="35"/>
    </row>
    <row r="77" spans="1:29" s="1" customFormat="1" ht="13.5" customHeight="1">
      <c r="A77" s="31" t="s">
        <v>100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91</v>
      </c>
      <c r="M77" s="32"/>
      <c r="N77" s="32"/>
      <c r="O77" s="32" t="s">
        <v>145</v>
      </c>
      <c r="P77" s="32"/>
      <c r="Q77" s="32"/>
      <c r="R77" s="33" t="s">
        <v>102</v>
      </c>
      <c r="S77" s="33"/>
      <c r="T77" s="34">
        <f>400909.2</f>
        <v>400909.2</v>
      </c>
      <c r="U77" s="34"/>
      <c r="V77" s="34"/>
      <c r="W77" s="34">
        <f>453299.95</f>
        <v>453299.95</v>
      </c>
      <c r="X77" s="34"/>
      <c r="Y77" s="34"/>
      <c r="Z77" s="34"/>
      <c r="AA77" s="34"/>
      <c r="AB77" s="37" t="s">
        <v>45</v>
      </c>
      <c r="AC77" s="37"/>
    </row>
    <row r="78" spans="1:29" s="1" customFormat="1" ht="13.5" customHeight="1">
      <c r="A78" s="31" t="s">
        <v>116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91</v>
      </c>
      <c r="M78" s="32"/>
      <c r="N78" s="32"/>
      <c r="O78" s="32" t="s">
        <v>146</v>
      </c>
      <c r="P78" s="32"/>
      <c r="Q78" s="32"/>
      <c r="R78" s="33" t="s">
        <v>118</v>
      </c>
      <c r="S78" s="33"/>
      <c r="T78" s="34">
        <f>1200</f>
        <v>1200</v>
      </c>
      <c r="U78" s="34"/>
      <c r="V78" s="34"/>
      <c r="W78" s="34">
        <f>1200</f>
        <v>1200</v>
      </c>
      <c r="X78" s="34"/>
      <c r="Y78" s="34"/>
      <c r="Z78" s="34"/>
      <c r="AA78" s="34"/>
      <c r="AB78" s="35">
        <f aca="true" t="shared" si="0" ref="AB78:AB86">0</f>
        <v>0</v>
      </c>
      <c r="AC78" s="35"/>
    </row>
    <row r="79" spans="1:29" s="1" customFormat="1" ht="13.5" customHeight="1">
      <c r="A79" s="31" t="s">
        <v>121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91</v>
      </c>
      <c r="M79" s="32"/>
      <c r="N79" s="32"/>
      <c r="O79" s="32" t="s">
        <v>146</v>
      </c>
      <c r="P79" s="32"/>
      <c r="Q79" s="32"/>
      <c r="R79" s="33" t="s">
        <v>122</v>
      </c>
      <c r="S79" s="33"/>
      <c r="T79" s="34">
        <f>43018.4</f>
        <v>43018.4</v>
      </c>
      <c r="U79" s="34"/>
      <c r="V79" s="34"/>
      <c r="W79" s="34">
        <f>43018.4</f>
        <v>43018.4</v>
      </c>
      <c r="X79" s="34"/>
      <c r="Y79" s="34"/>
      <c r="Z79" s="34"/>
      <c r="AA79" s="34"/>
      <c r="AB79" s="35">
        <f t="shared" si="0"/>
        <v>0</v>
      </c>
      <c r="AC79" s="35"/>
    </row>
    <row r="80" spans="1:29" s="1" customFormat="1" ht="13.5" customHeight="1">
      <c r="A80" s="31" t="s">
        <v>126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91</v>
      </c>
      <c r="M80" s="32"/>
      <c r="N80" s="32"/>
      <c r="O80" s="32" t="s">
        <v>147</v>
      </c>
      <c r="P80" s="32"/>
      <c r="Q80" s="32"/>
      <c r="R80" s="33" t="s">
        <v>127</v>
      </c>
      <c r="S80" s="33"/>
      <c r="T80" s="34">
        <f>86973.62</f>
        <v>86973.62</v>
      </c>
      <c r="U80" s="34"/>
      <c r="V80" s="34"/>
      <c r="W80" s="34">
        <f>86973.62</f>
        <v>86973.62</v>
      </c>
      <c r="X80" s="34"/>
      <c r="Y80" s="34"/>
      <c r="Z80" s="34"/>
      <c r="AA80" s="34"/>
      <c r="AB80" s="35">
        <f t="shared" si="0"/>
        <v>0</v>
      </c>
      <c r="AC80" s="35"/>
    </row>
    <row r="81" spans="1:29" s="1" customFormat="1" ht="13.5" customHeight="1">
      <c r="A81" s="31" t="s">
        <v>119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91</v>
      </c>
      <c r="M81" s="32"/>
      <c r="N81" s="32"/>
      <c r="O81" s="32" t="s">
        <v>147</v>
      </c>
      <c r="P81" s="32"/>
      <c r="Q81" s="32"/>
      <c r="R81" s="33" t="s">
        <v>120</v>
      </c>
      <c r="S81" s="33"/>
      <c r="T81" s="34">
        <f>16863.89</f>
        <v>16863.89</v>
      </c>
      <c r="U81" s="34"/>
      <c r="V81" s="34"/>
      <c r="W81" s="34">
        <f>16863.89</f>
        <v>16863.89</v>
      </c>
      <c r="X81" s="34"/>
      <c r="Y81" s="34"/>
      <c r="Z81" s="34"/>
      <c r="AA81" s="34"/>
      <c r="AB81" s="35">
        <f t="shared" si="0"/>
        <v>0</v>
      </c>
      <c r="AC81" s="35"/>
    </row>
    <row r="82" spans="1:29" s="1" customFormat="1" ht="13.5" customHeight="1">
      <c r="A82" s="31" t="s">
        <v>121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91</v>
      </c>
      <c r="M82" s="32"/>
      <c r="N82" s="32"/>
      <c r="O82" s="32" t="s">
        <v>147</v>
      </c>
      <c r="P82" s="32"/>
      <c r="Q82" s="32"/>
      <c r="R82" s="33" t="s">
        <v>122</v>
      </c>
      <c r="S82" s="33"/>
      <c r="T82" s="34">
        <f>3500</f>
        <v>3500</v>
      </c>
      <c r="U82" s="34"/>
      <c r="V82" s="34"/>
      <c r="W82" s="34">
        <f>3500</f>
        <v>3500</v>
      </c>
      <c r="X82" s="34"/>
      <c r="Y82" s="34"/>
      <c r="Z82" s="34"/>
      <c r="AA82" s="34"/>
      <c r="AB82" s="35">
        <f t="shared" si="0"/>
        <v>0</v>
      </c>
      <c r="AC82" s="35"/>
    </row>
    <row r="83" spans="1:29" s="1" customFormat="1" ht="13.5" customHeight="1">
      <c r="A83" s="31" t="s">
        <v>130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91</v>
      </c>
      <c r="M83" s="32"/>
      <c r="N83" s="32"/>
      <c r="O83" s="32" t="s">
        <v>147</v>
      </c>
      <c r="P83" s="32"/>
      <c r="Q83" s="32"/>
      <c r="R83" s="33" t="s">
        <v>131</v>
      </c>
      <c r="S83" s="33"/>
      <c r="T83" s="34">
        <f>30199</f>
        <v>30199</v>
      </c>
      <c r="U83" s="34"/>
      <c r="V83" s="34"/>
      <c r="W83" s="34">
        <f>30199</f>
        <v>30199</v>
      </c>
      <c r="X83" s="34"/>
      <c r="Y83" s="34"/>
      <c r="Z83" s="34"/>
      <c r="AA83" s="34"/>
      <c r="AB83" s="35">
        <f t="shared" si="0"/>
        <v>0</v>
      </c>
      <c r="AC83" s="35"/>
    </row>
    <row r="84" spans="1:29" s="1" customFormat="1" ht="13.5" customHeight="1">
      <c r="A84" s="31" t="s">
        <v>136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91</v>
      </c>
      <c r="M84" s="32"/>
      <c r="N84" s="32"/>
      <c r="O84" s="32" t="s">
        <v>147</v>
      </c>
      <c r="P84" s="32"/>
      <c r="Q84" s="32"/>
      <c r="R84" s="33" t="s">
        <v>137</v>
      </c>
      <c r="S84" s="33"/>
      <c r="T84" s="34">
        <f>41460.06</f>
        <v>41460.06</v>
      </c>
      <c r="U84" s="34"/>
      <c r="V84" s="34"/>
      <c r="W84" s="34">
        <f>41460.06</f>
        <v>41460.06</v>
      </c>
      <c r="X84" s="34"/>
      <c r="Y84" s="34"/>
      <c r="Z84" s="34"/>
      <c r="AA84" s="34"/>
      <c r="AB84" s="35">
        <f t="shared" si="0"/>
        <v>0</v>
      </c>
      <c r="AC84" s="35"/>
    </row>
    <row r="85" spans="1:29" s="1" customFormat="1" ht="13.5" customHeight="1">
      <c r="A85" s="31" t="s">
        <v>140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91</v>
      </c>
      <c r="M85" s="32"/>
      <c r="N85" s="32"/>
      <c r="O85" s="32" t="s">
        <v>148</v>
      </c>
      <c r="P85" s="32"/>
      <c r="Q85" s="32"/>
      <c r="R85" s="33" t="s">
        <v>142</v>
      </c>
      <c r="S85" s="33"/>
      <c r="T85" s="34">
        <f>1300</f>
        <v>1300</v>
      </c>
      <c r="U85" s="34"/>
      <c r="V85" s="34"/>
      <c r="W85" s="34">
        <f>1300</f>
        <v>1300</v>
      </c>
      <c r="X85" s="34"/>
      <c r="Y85" s="34"/>
      <c r="Z85" s="34"/>
      <c r="AA85" s="34"/>
      <c r="AB85" s="35">
        <f t="shared" si="0"/>
        <v>0</v>
      </c>
      <c r="AC85" s="35"/>
    </row>
    <row r="86" spans="1:29" s="1" customFormat="1" ht="13.5" customHeight="1">
      <c r="A86" s="31" t="s">
        <v>149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91</v>
      </c>
      <c r="M86" s="32"/>
      <c r="N86" s="32"/>
      <c r="O86" s="32" t="s">
        <v>150</v>
      </c>
      <c r="P86" s="32"/>
      <c r="Q86" s="32"/>
      <c r="R86" s="33" t="s">
        <v>151</v>
      </c>
      <c r="S86" s="33"/>
      <c r="T86" s="34">
        <f>15000</f>
        <v>15000</v>
      </c>
      <c r="U86" s="34"/>
      <c r="V86" s="34"/>
      <c r="W86" s="34">
        <f>15000</f>
        <v>15000</v>
      </c>
      <c r="X86" s="34"/>
      <c r="Y86" s="34"/>
      <c r="Z86" s="34"/>
      <c r="AA86" s="34"/>
      <c r="AB86" s="35">
        <f t="shared" si="0"/>
        <v>0</v>
      </c>
      <c r="AC86" s="35"/>
    </row>
    <row r="87" spans="1:29" s="1" customFormat="1" ht="13.5" customHeight="1">
      <c r="A87" s="31" t="s">
        <v>92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91</v>
      </c>
      <c r="M87" s="32"/>
      <c r="N87" s="32"/>
      <c r="O87" s="32" t="s">
        <v>152</v>
      </c>
      <c r="P87" s="32"/>
      <c r="Q87" s="32"/>
      <c r="R87" s="33" t="s">
        <v>94</v>
      </c>
      <c r="S87" s="33"/>
      <c r="T87" s="34">
        <f>84101.38</f>
        <v>84101.38</v>
      </c>
      <c r="U87" s="34"/>
      <c r="V87" s="34"/>
      <c r="W87" s="34">
        <f>24568.33</f>
        <v>24568.33</v>
      </c>
      <c r="X87" s="34"/>
      <c r="Y87" s="34"/>
      <c r="Z87" s="34"/>
      <c r="AA87" s="34"/>
      <c r="AB87" s="35">
        <f>59533.05</f>
        <v>59533.05</v>
      </c>
      <c r="AC87" s="35"/>
    </row>
    <row r="88" spans="1:29" s="1" customFormat="1" ht="13.5" customHeight="1">
      <c r="A88" s="31" t="s">
        <v>100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91</v>
      </c>
      <c r="M88" s="32"/>
      <c r="N88" s="32"/>
      <c r="O88" s="32" t="s">
        <v>153</v>
      </c>
      <c r="P88" s="32"/>
      <c r="Q88" s="32"/>
      <c r="R88" s="33" t="s">
        <v>102</v>
      </c>
      <c r="S88" s="33"/>
      <c r="T88" s="34">
        <f>25398.62</f>
        <v>25398.62</v>
      </c>
      <c r="U88" s="34"/>
      <c r="V88" s="34"/>
      <c r="W88" s="34">
        <f>6664.63</f>
        <v>6664.63</v>
      </c>
      <c r="X88" s="34"/>
      <c r="Y88" s="34"/>
      <c r="Z88" s="34"/>
      <c r="AA88" s="34"/>
      <c r="AB88" s="35">
        <f>18733.99</f>
        <v>18733.99</v>
      </c>
      <c r="AC88" s="35"/>
    </row>
    <row r="89" spans="1:29" s="1" customFormat="1" ht="13.5" customHeight="1">
      <c r="A89" s="31" t="s">
        <v>92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91</v>
      </c>
      <c r="M89" s="32"/>
      <c r="N89" s="32"/>
      <c r="O89" s="32" t="s">
        <v>154</v>
      </c>
      <c r="P89" s="32"/>
      <c r="Q89" s="32"/>
      <c r="R89" s="33" t="s">
        <v>94</v>
      </c>
      <c r="S89" s="33"/>
      <c r="T89" s="34">
        <f>3072.2</f>
        <v>3072.2</v>
      </c>
      <c r="U89" s="34"/>
      <c r="V89" s="34"/>
      <c r="W89" s="36" t="s">
        <v>45</v>
      </c>
      <c r="X89" s="36"/>
      <c r="Y89" s="36"/>
      <c r="Z89" s="36"/>
      <c r="AA89" s="36"/>
      <c r="AB89" s="35">
        <f>3072.2</f>
        <v>3072.2</v>
      </c>
      <c r="AC89" s="35"/>
    </row>
    <row r="90" spans="1:29" s="1" customFormat="1" ht="13.5" customHeight="1">
      <c r="A90" s="31" t="s">
        <v>100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91</v>
      </c>
      <c r="M90" s="32"/>
      <c r="N90" s="32"/>
      <c r="O90" s="32" t="s">
        <v>155</v>
      </c>
      <c r="P90" s="32"/>
      <c r="Q90" s="32"/>
      <c r="R90" s="33" t="s">
        <v>102</v>
      </c>
      <c r="S90" s="33"/>
      <c r="T90" s="34">
        <f>927.8</f>
        <v>927.8</v>
      </c>
      <c r="U90" s="34"/>
      <c r="V90" s="34"/>
      <c r="W90" s="36" t="s">
        <v>45</v>
      </c>
      <c r="X90" s="36"/>
      <c r="Y90" s="36"/>
      <c r="Z90" s="36"/>
      <c r="AA90" s="36"/>
      <c r="AB90" s="35">
        <f>927.8</f>
        <v>927.8</v>
      </c>
      <c r="AC90" s="35"/>
    </row>
    <row r="91" spans="1:29" s="1" customFormat="1" ht="13.5" customHeight="1">
      <c r="A91" s="31" t="s">
        <v>92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91</v>
      </c>
      <c r="M91" s="32"/>
      <c r="N91" s="32"/>
      <c r="O91" s="32" t="s">
        <v>156</v>
      </c>
      <c r="P91" s="32"/>
      <c r="Q91" s="32"/>
      <c r="R91" s="33" t="s">
        <v>94</v>
      </c>
      <c r="S91" s="33"/>
      <c r="T91" s="34">
        <f>768.05</f>
        <v>768.05</v>
      </c>
      <c r="U91" s="34"/>
      <c r="V91" s="34"/>
      <c r="W91" s="34">
        <f>768.05</f>
        <v>768.05</v>
      </c>
      <c r="X91" s="34"/>
      <c r="Y91" s="34"/>
      <c r="Z91" s="34"/>
      <c r="AA91" s="34"/>
      <c r="AB91" s="35">
        <f>0</f>
        <v>0</v>
      </c>
      <c r="AC91" s="35"/>
    </row>
    <row r="92" spans="1:29" s="1" customFormat="1" ht="13.5" customHeight="1">
      <c r="A92" s="31" t="s">
        <v>100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91</v>
      </c>
      <c r="M92" s="32"/>
      <c r="N92" s="32"/>
      <c r="O92" s="32" t="s">
        <v>157</v>
      </c>
      <c r="P92" s="32"/>
      <c r="Q92" s="32"/>
      <c r="R92" s="33" t="s">
        <v>102</v>
      </c>
      <c r="S92" s="33"/>
      <c r="T92" s="34">
        <f>231.95</f>
        <v>231.95</v>
      </c>
      <c r="U92" s="34"/>
      <c r="V92" s="34"/>
      <c r="W92" s="34">
        <f>231.95</f>
        <v>231.95</v>
      </c>
      <c r="X92" s="34"/>
      <c r="Y92" s="34"/>
      <c r="Z92" s="34"/>
      <c r="AA92" s="34"/>
      <c r="AB92" s="35">
        <f>0</f>
        <v>0</v>
      </c>
      <c r="AC92" s="35"/>
    </row>
    <row r="93" spans="1:29" s="1" customFormat="1" ht="13.5" customHeight="1">
      <c r="A93" s="31" t="s">
        <v>119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91</v>
      </c>
      <c r="M93" s="32"/>
      <c r="N93" s="32"/>
      <c r="O93" s="32" t="s">
        <v>158</v>
      </c>
      <c r="P93" s="32"/>
      <c r="Q93" s="32"/>
      <c r="R93" s="33" t="s">
        <v>120</v>
      </c>
      <c r="S93" s="33"/>
      <c r="T93" s="34">
        <f>150000</f>
        <v>150000</v>
      </c>
      <c r="U93" s="34"/>
      <c r="V93" s="34"/>
      <c r="W93" s="34">
        <f>78156.7</f>
        <v>78156.7</v>
      </c>
      <c r="X93" s="34"/>
      <c r="Y93" s="34"/>
      <c r="Z93" s="34"/>
      <c r="AA93" s="34"/>
      <c r="AB93" s="35">
        <f>71843.3</f>
        <v>71843.3</v>
      </c>
      <c r="AC93" s="35"/>
    </row>
    <row r="94" spans="1:29" s="1" customFormat="1" ht="24" customHeight="1">
      <c r="A94" s="31" t="s">
        <v>138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91</v>
      </c>
      <c r="M94" s="32"/>
      <c r="N94" s="32"/>
      <c r="O94" s="32" t="s">
        <v>159</v>
      </c>
      <c r="P94" s="32"/>
      <c r="Q94" s="32"/>
      <c r="R94" s="33" t="s">
        <v>139</v>
      </c>
      <c r="S94" s="33"/>
      <c r="T94" s="34">
        <f>5500</f>
        <v>5500</v>
      </c>
      <c r="U94" s="34"/>
      <c r="V94" s="34"/>
      <c r="W94" s="36" t="s">
        <v>45</v>
      </c>
      <c r="X94" s="36"/>
      <c r="Y94" s="36"/>
      <c r="Z94" s="36"/>
      <c r="AA94" s="36"/>
      <c r="AB94" s="35">
        <f>5500</f>
        <v>5500</v>
      </c>
      <c r="AC94" s="35"/>
    </row>
    <row r="95" spans="1:29" s="1" customFormat="1" ht="13.5" customHeight="1">
      <c r="A95" s="31" t="s">
        <v>121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91</v>
      </c>
      <c r="M95" s="32"/>
      <c r="N95" s="32"/>
      <c r="O95" s="32" t="s">
        <v>160</v>
      </c>
      <c r="P95" s="32"/>
      <c r="Q95" s="32"/>
      <c r="R95" s="33" t="s">
        <v>122</v>
      </c>
      <c r="S95" s="33"/>
      <c r="T95" s="34">
        <f>4826.09</f>
        <v>4826.09</v>
      </c>
      <c r="U95" s="34"/>
      <c r="V95" s="34"/>
      <c r="W95" s="36" t="s">
        <v>45</v>
      </c>
      <c r="X95" s="36"/>
      <c r="Y95" s="36"/>
      <c r="Z95" s="36"/>
      <c r="AA95" s="36"/>
      <c r="AB95" s="35">
        <f>4826.09</f>
        <v>4826.09</v>
      </c>
      <c r="AC95" s="35"/>
    </row>
    <row r="96" spans="1:29" s="1" customFormat="1" ht="13.5" customHeight="1">
      <c r="A96" s="31" t="s">
        <v>121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91</v>
      </c>
      <c r="M96" s="32"/>
      <c r="N96" s="32"/>
      <c r="O96" s="32" t="s">
        <v>161</v>
      </c>
      <c r="P96" s="32"/>
      <c r="Q96" s="32"/>
      <c r="R96" s="33" t="s">
        <v>122</v>
      </c>
      <c r="S96" s="33"/>
      <c r="T96" s="34">
        <f>4826.09</f>
        <v>4826.09</v>
      </c>
      <c r="U96" s="34"/>
      <c r="V96" s="34"/>
      <c r="W96" s="36" t="s">
        <v>45</v>
      </c>
      <c r="X96" s="36"/>
      <c r="Y96" s="36"/>
      <c r="Z96" s="36"/>
      <c r="AA96" s="36"/>
      <c r="AB96" s="35">
        <f>4826.09</f>
        <v>4826.09</v>
      </c>
      <c r="AC96" s="35"/>
    </row>
    <row r="97" spans="1:29" s="1" customFormat="1" ht="24" customHeight="1">
      <c r="A97" s="31" t="s">
        <v>138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91</v>
      </c>
      <c r="M97" s="32"/>
      <c r="N97" s="32"/>
      <c r="O97" s="32" t="s">
        <v>162</v>
      </c>
      <c r="P97" s="32"/>
      <c r="Q97" s="32"/>
      <c r="R97" s="33" t="s">
        <v>139</v>
      </c>
      <c r="S97" s="33"/>
      <c r="T97" s="34">
        <f>10000</f>
        <v>10000</v>
      </c>
      <c r="U97" s="34"/>
      <c r="V97" s="34"/>
      <c r="W97" s="36" t="s">
        <v>45</v>
      </c>
      <c r="X97" s="36"/>
      <c r="Y97" s="36"/>
      <c r="Z97" s="36"/>
      <c r="AA97" s="36"/>
      <c r="AB97" s="35">
        <f>10000</f>
        <v>10000</v>
      </c>
      <c r="AC97" s="35"/>
    </row>
    <row r="98" spans="1:29" s="1" customFormat="1" ht="13.5" customHeight="1">
      <c r="A98" s="31" t="s">
        <v>121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91</v>
      </c>
      <c r="M98" s="32"/>
      <c r="N98" s="32"/>
      <c r="O98" s="32" t="s">
        <v>163</v>
      </c>
      <c r="P98" s="32"/>
      <c r="Q98" s="32"/>
      <c r="R98" s="33" t="s">
        <v>122</v>
      </c>
      <c r="S98" s="33"/>
      <c r="T98" s="34">
        <f>12673</f>
        <v>12673</v>
      </c>
      <c r="U98" s="34"/>
      <c r="V98" s="34"/>
      <c r="W98" s="36" t="s">
        <v>45</v>
      </c>
      <c r="X98" s="36"/>
      <c r="Y98" s="36"/>
      <c r="Z98" s="36"/>
      <c r="AA98" s="36"/>
      <c r="AB98" s="35">
        <f>12673</f>
        <v>12673</v>
      </c>
      <c r="AC98" s="35"/>
    </row>
    <row r="99" spans="1:29" s="1" customFormat="1" ht="13.5" customHeight="1">
      <c r="A99" s="31" t="s">
        <v>119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91</v>
      </c>
      <c r="M99" s="32"/>
      <c r="N99" s="32"/>
      <c r="O99" s="32" t="s">
        <v>164</v>
      </c>
      <c r="P99" s="32"/>
      <c r="Q99" s="32"/>
      <c r="R99" s="33" t="s">
        <v>120</v>
      </c>
      <c r="S99" s="33"/>
      <c r="T99" s="34">
        <f>2829117.67</f>
        <v>2829117.67</v>
      </c>
      <c r="U99" s="34"/>
      <c r="V99" s="34"/>
      <c r="W99" s="36" t="s">
        <v>45</v>
      </c>
      <c r="X99" s="36"/>
      <c r="Y99" s="36"/>
      <c r="Z99" s="36"/>
      <c r="AA99" s="36"/>
      <c r="AB99" s="35">
        <f>2829117.67</f>
        <v>2829117.67</v>
      </c>
      <c r="AC99" s="35"/>
    </row>
    <row r="100" spans="1:29" s="1" customFormat="1" ht="13.5" customHeight="1">
      <c r="A100" s="31" t="s">
        <v>119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91</v>
      </c>
      <c r="M100" s="32"/>
      <c r="N100" s="32"/>
      <c r="O100" s="32" t="s">
        <v>165</v>
      </c>
      <c r="P100" s="32"/>
      <c r="Q100" s="32"/>
      <c r="R100" s="33" t="s">
        <v>120</v>
      </c>
      <c r="S100" s="33"/>
      <c r="T100" s="34">
        <f>305000</f>
        <v>305000</v>
      </c>
      <c r="U100" s="34"/>
      <c r="V100" s="34"/>
      <c r="W100" s="34">
        <f>153918.1</f>
        <v>153918.1</v>
      </c>
      <c r="X100" s="34"/>
      <c r="Y100" s="34"/>
      <c r="Z100" s="34"/>
      <c r="AA100" s="34"/>
      <c r="AB100" s="35">
        <f>151081.9</f>
        <v>151081.9</v>
      </c>
      <c r="AC100" s="35"/>
    </row>
    <row r="101" spans="1:29" s="1" customFormat="1" ht="13.5" customHeight="1">
      <c r="A101" s="31" t="s">
        <v>121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91</v>
      </c>
      <c r="M101" s="32"/>
      <c r="N101" s="32"/>
      <c r="O101" s="32" t="s">
        <v>166</v>
      </c>
      <c r="P101" s="32"/>
      <c r="Q101" s="32"/>
      <c r="R101" s="33" t="s">
        <v>122</v>
      </c>
      <c r="S101" s="33"/>
      <c r="T101" s="34">
        <f>137720</f>
        <v>137720</v>
      </c>
      <c r="U101" s="34"/>
      <c r="V101" s="34"/>
      <c r="W101" s="34">
        <f>137720</f>
        <v>137720</v>
      </c>
      <c r="X101" s="34"/>
      <c r="Y101" s="34"/>
      <c r="Z101" s="34"/>
      <c r="AA101" s="34"/>
      <c r="AB101" s="35">
        <f>0</f>
        <v>0</v>
      </c>
      <c r="AC101" s="35"/>
    </row>
    <row r="102" spans="1:29" s="1" customFormat="1" ht="13.5" customHeight="1">
      <c r="A102" s="31" t="s">
        <v>121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91</v>
      </c>
      <c r="M102" s="32"/>
      <c r="N102" s="32"/>
      <c r="O102" s="32" t="s">
        <v>167</v>
      </c>
      <c r="P102" s="32"/>
      <c r="Q102" s="32"/>
      <c r="R102" s="33" t="s">
        <v>122</v>
      </c>
      <c r="S102" s="33"/>
      <c r="T102" s="34">
        <f>342680</f>
        <v>342680</v>
      </c>
      <c r="U102" s="34"/>
      <c r="V102" s="34"/>
      <c r="W102" s="34">
        <f>98680</f>
        <v>98680</v>
      </c>
      <c r="X102" s="34"/>
      <c r="Y102" s="34"/>
      <c r="Z102" s="34"/>
      <c r="AA102" s="34"/>
      <c r="AB102" s="35">
        <f>244000</f>
        <v>244000</v>
      </c>
      <c r="AC102" s="35"/>
    </row>
    <row r="103" spans="1:29" s="1" customFormat="1" ht="13.5" customHeight="1">
      <c r="A103" s="31" t="s">
        <v>121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91</v>
      </c>
      <c r="M103" s="32"/>
      <c r="N103" s="32"/>
      <c r="O103" s="32" t="s">
        <v>168</v>
      </c>
      <c r="P103" s="32"/>
      <c r="Q103" s="32"/>
      <c r="R103" s="33" t="s">
        <v>122</v>
      </c>
      <c r="S103" s="33"/>
      <c r="T103" s="34">
        <f>15600</f>
        <v>15600</v>
      </c>
      <c r="U103" s="34"/>
      <c r="V103" s="34"/>
      <c r="W103" s="34">
        <f>5200</f>
        <v>5200</v>
      </c>
      <c r="X103" s="34"/>
      <c r="Y103" s="34"/>
      <c r="Z103" s="34"/>
      <c r="AA103" s="34"/>
      <c r="AB103" s="35">
        <f>10400</f>
        <v>10400</v>
      </c>
      <c r="AC103" s="35"/>
    </row>
    <row r="104" spans="1:29" s="1" customFormat="1" ht="13.5" customHeight="1">
      <c r="A104" s="31" t="s">
        <v>126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91</v>
      </c>
      <c r="M104" s="32"/>
      <c r="N104" s="32"/>
      <c r="O104" s="32" t="s">
        <v>169</v>
      </c>
      <c r="P104" s="32"/>
      <c r="Q104" s="32"/>
      <c r="R104" s="33" t="s">
        <v>127</v>
      </c>
      <c r="S104" s="33"/>
      <c r="T104" s="34">
        <f>81000</f>
        <v>81000</v>
      </c>
      <c r="U104" s="34"/>
      <c r="V104" s="34"/>
      <c r="W104" s="34">
        <f>16298.61</f>
        <v>16298.61</v>
      </c>
      <c r="X104" s="34"/>
      <c r="Y104" s="34"/>
      <c r="Z104" s="34"/>
      <c r="AA104" s="34"/>
      <c r="AB104" s="35">
        <f>64701.39</f>
        <v>64701.39</v>
      </c>
      <c r="AC104" s="35"/>
    </row>
    <row r="105" spans="1:29" s="1" customFormat="1" ht="13.5" customHeight="1">
      <c r="A105" s="31" t="s">
        <v>119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91</v>
      </c>
      <c r="M105" s="32"/>
      <c r="N105" s="32"/>
      <c r="O105" s="32" t="s">
        <v>169</v>
      </c>
      <c r="P105" s="32"/>
      <c r="Q105" s="32"/>
      <c r="R105" s="33" t="s">
        <v>120</v>
      </c>
      <c r="S105" s="33"/>
      <c r="T105" s="34">
        <f>117343.52</f>
        <v>117343.52</v>
      </c>
      <c r="U105" s="34"/>
      <c r="V105" s="34"/>
      <c r="W105" s="34">
        <f>31969.44</f>
        <v>31969.44</v>
      </c>
      <c r="X105" s="34"/>
      <c r="Y105" s="34"/>
      <c r="Z105" s="34"/>
      <c r="AA105" s="34"/>
      <c r="AB105" s="35">
        <f>85374.08</f>
        <v>85374.08</v>
      </c>
      <c r="AC105" s="35"/>
    </row>
    <row r="106" spans="1:29" s="1" customFormat="1" ht="13.5" customHeight="1">
      <c r="A106" s="31" t="s">
        <v>121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91</v>
      </c>
      <c r="M106" s="32"/>
      <c r="N106" s="32"/>
      <c r="O106" s="32" t="s">
        <v>169</v>
      </c>
      <c r="P106" s="32"/>
      <c r="Q106" s="32"/>
      <c r="R106" s="33" t="s">
        <v>122</v>
      </c>
      <c r="S106" s="33"/>
      <c r="T106" s="34">
        <f>36241.67</f>
        <v>36241.67</v>
      </c>
      <c r="U106" s="34"/>
      <c r="V106" s="34"/>
      <c r="W106" s="34">
        <f>12642.36</f>
        <v>12642.36</v>
      </c>
      <c r="X106" s="34"/>
      <c r="Y106" s="34"/>
      <c r="Z106" s="34"/>
      <c r="AA106" s="34"/>
      <c r="AB106" s="35">
        <f>23599.31</f>
        <v>23599.31</v>
      </c>
      <c r="AC106" s="35"/>
    </row>
    <row r="107" spans="1:29" s="1" customFormat="1" ht="13.5" customHeight="1">
      <c r="A107" s="31" t="s">
        <v>121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91</v>
      </c>
      <c r="M107" s="32"/>
      <c r="N107" s="32"/>
      <c r="O107" s="32" t="s">
        <v>170</v>
      </c>
      <c r="P107" s="32"/>
      <c r="Q107" s="32"/>
      <c r="R107" s="33" t="s">
        <v>122</v>
      </c>
      <c r="S107" s="33"/>
      <c r="T107" s="34">
        <f>10000</f>
        <v>10000</v>
      </c>
      <c r="U107" s="34"/>
      <c r="V107" s="34"/>
      <c r="W107" s="34">
        <f>10000</f>
        <v>10000</v>
      </c>
      <c r="X107" s="34"/>
      <c r="Y107" s="34"/>
      <c r="Z107" s="34"/>
      <c r="AA107" s="34"/>
      <c r="AB107" s="35">
        <f>0</f>
        <v>0</v>
      </c>
      <c r="AC107" s="35"/>
    </row>
    <row r="108" spans="1:29" s="1" customFormat="1" ht="13.5" customHeight="1">
      <c r="A108" s="31" t="s">
        <v>119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91</v>
      </c>
      <c r="M108" s="32"/>
      <c r="N108" s="32"/>
      <c r="O108" s="32" t="s">
        <v>171</v>
      </c>
      <c r="P108" s="32"/>
      <c r="Q108" s="32"/>
      <c r="R108" s="33" t="s">
        <v>120</v>
      </c>
      <c r="S108" s="33"/>
      <c r="T108" s="34">
        <f>10656.48</f>
        <v>10656.48</v>
      </c>
      <c r="U108" s="34"/>
      <c r="V108" s="34"/>
      <c r="W108" s="34">
        <f>10656.48</f>
        <v>10656.48</v>
      </c>
      <c r="X108" s="34"/>
      <c r="Y108" s="34"/>
      <c r="Z108" s="34"/>
      <c r="AA108" s="34"/>
      <c r="AB108" s="35">
        <f>0</f>
        <v>0</v>
      </c>
      <c r="AC108" s="35"/>
    </row>
    <row r="109" spans="1:29" s="1" customFormat="1" ht="13.5" customHeight="1">
      <c r="A109" s="31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91</v>
      </c>
      <c r="M109" s="32"/>
      <c r="N109" s="32"/>
      <c r="O109" s="32" t="s">
        <v>171</v>
      </c>
      <c r="P109" s="32"/>
      <c r="Q109" s="32"/>
      <c r="R109" s="33" t="s">
        <v>122</v>
      </c>
      <c r="S109" s="33"/>
      <c r="T109" s="34">
        <f>458.33</f>
        <v>458.33</v>
      </c>
      <c r="U109" s="34"/>
      <c r="V109" s="34"/>
      <c r="W109" s="34">
        <f>458.33</f>
        <v>458.33</v>
      </c>
      <c r="X109" s="34"/>
      <c r="Y109" s="34"/>
      <c r="Z109" s="34"/>
      <c r="AA109" s="34"/>
      <c r="AB109" s="35">
        <f>0</f>
        <v>0</v>
      </c>
      <c r="AC109" s="35"/>
    </row>
    <row r="110" spans="1:29" s="1" customFormat="1" ht="13.5" customHeight="1">
      <c r="A110" s="31" t="s">
        <v>121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91</v>
      </c>
      <c r="M110" s="32"/>
      <c r="N110" s="32"/>
      <c r="O110" s="32" t="s">
        <v>172</v>
      </c>
      <c r="P110" s="32"/>
      <c r="Q110" s="32"/>
      <c r="R110" s="33" t="s">
        <v>122</v>
      </c>
      <c r="S110" s="33"/>
      <c r="T110" s="34">
        <f>1316749</f>
        <v>1316749</v>
      </c>
      <c r="U110" s="34"/>
      <c r="V110" s="34"/>
      <c r="W110" s="36" t="s">
        <v>45</v>
      </c>
      <c r="X110" s="36"/>
      <c r="Y110" s="36"/>
      <c r="Z110" s="36"/>
      <c r="AA110" s="36"/>
      <c r="AB110" s="35">
        <f>1316749</f>
        <v>1316749</v>
      </c>
      <c r="AC110" s="35"/>
    </row>
    <row r="111" spans="1:29" s="1" customFormat="1" ht="13.5" customHeight="1">
      <c r="A111" s="31" t="s">
        <v>121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91</v>
      </c>
      <c r="M111" s="32"/>
      <c r="N111" s="32"/>
      <c r="O111" s="32" t="s">
        <v>173</v>
      </c>
      <c r="P111" s="32"/>
      <c r="Q111" s="32"/>
      <c r="R111" s="33" t="s">
        <v>122</v>
      </c>
      <c r="S111" s="33"/>
      <c r="T111" s="34">
        <f>188908.95</f>
        <v>188908.95</v>
      </c>
      <c r="U111" s="34"/>
      <c r="V111" s="34"/>
      <c r="W111" s="36" t="s">
        <v>45</v>
      </c>
      <c r="X111" s="36"/>
      <c r="Y111" s="36"/>
      <c r="Z111" s="36"/>
      <c r="AA111" s="36"/>
      <c r="AB111" s="35">
        <f>188908.95</f>
        <v>188908.95</v>
      </c>
      <c r="AC111" s="35"/>
    </row>
    <row r="112" spans="1:29" s="1" customFormat="1" ht="13.5" customHeight="1">
      <c r="A112" s="31" t="s">
        <v>119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91</v>
      </c>
      <c r="M112" s="32"/>
      <c r="N112" s="32"/>
      <c r="O112" s="32" t="s">
        <v>174</v>
      </c>
      <c r="P112" s="32"/>
      <c r="Q112" s="32"/>
      <c r="R112" s="33" t="s">
        <v>120</v>
      </c>
      <c r="S112" s="33"/>
      <c r="T112" s="34">
        <f>101544.24</f>
        <v>101544.24</v>
      </c>
      <c r="U112" s="34"/>
      <c r="V112" s="34"/>
      <c r="W112" s="34">
        <f>59908</f>
        <v>59908</v>
      </c>
      <c r="X112" s="34"/>
      <c r="Y112" s="34"/>
      <c r="Z112" s="34"/>
      <c r="AA112" s="34"/>
      <c r="AB112" s="35">
        <f>41636.24</f>
        <v>41636.24</v>
      </c>
      <c r="AC112" s="35"/>
    </row>
    <row r="113" spans="1:29" s="1" customFormat="1" ht="13.5" customHeight="1">
      <c r="A113" s="31" t="s">
        <v>126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91</v>
      </c>
      <c r="M113" s="32"/>
      <c r="N113" s="32"/>
      <c r="O113" s="32" t="s">
        <v>175</v>
      </c>
      <c r="P113" s="32"/>
      <c r="Q113" s="32"/>
      <c r="R113" s="33" t="s">
        <v>127</v>
      </c>
      <c r="S113" s="33"/>
      <c r="T113" s="34">
        <f>513961.92</f>
        <v>513961.92</v>
      </c>
      <c r="U113" s="34"/>
      <c r="V113" s="34"/>
      <c r="W113" s="34">
        <f>295683.49</f>
        <v>295683.49</v>
      </c>
      <c r="X113" s="34"/>
      <c r="Y113" s="34"/>
      <c r="Z113" s="34"/>
      <c r="AA113" s="34"/>
      <c r="AB113" s="35">
        <f>218278.43</f>
        <v>218278.43</v>
      </c>
      <c r="AC113" s="35"/>
    </row>
    <row r="114" spans="1:29" s="1" customFormat="1" ht="13.5" customHeight="1">
      <c r="A114" s="31" t="s">
        <v>119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91</v>
      </c>
      <c r="M114" s="32"/>
      <c r="N114" s="32"/>
      <c r="O114" s="32" t="s">
        <v>175</v>
      </c>
      <c r="P114" s="32"/>
      <c r="Q114" s="32"/>
      <c r="R114" s="33" t="s">
        <v>120</v>
      </c>
      <c r="S114" s="33"/>
      <c r="T114" s="34">
        <f>155000</f>
        <v>155000</v>
      </c>
      <c r="U114" s="34"/>
      <c r="V114" s="34"/>
      <c r="W114" s="34">
        <f>45057.02</f>
        <v>45057.02</v>
      </c>
      <c r="X114" s="34"/>
      <c r="Y114" s="34"/>
      <c r="Z114" s="34"/>
      <c r="AA114" s="34"/>
      <c r="AB114" s="35">
        <f>109942.98</f>
        <v>109942.98</v>
      </c>
      <c r="AC114" s="35"/>
    </row>
    <row r="115" spans="1:29" s="1" customFormat="1" ht="13.5" customHeight="1">
      <c r="A115" s="31" t="s">
        <v>121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91</v>
      </c>
      <c r="M115" s="32"/>
      <c r="N115" s="32"/>
      <c r="O115" s="32" t="s">
        <v>175</v>
      </c>
      <c r="P115" s="32"/>
      <c r="Q115" s="32"/>
      <c r="R115" s="33" t="s">
        <v>122</v>
      </c>
      <c r="S115" s="33"/>
      <c r="T115" s="34">
        <f>539169</f>
        <v>539169</v>
      </c>
      <c r="U115" s="34"/>
      <c r="V115" s="34"/>
      <c r="W115" s="34">
        <f>85538.3</f>
        <v>85538.3</v>
      </c>
      <c r="X115" s="34"/>
      <c r="Y115" s="34"/>
      <c r="Z115" s="34"/>
      <c r="AA115" s="34"/>
      <c r="AB115" s="35">
        <f>453630.7</f>
        <v>453630.7</v>
      </c>
      <c r="AC115" s="35"/>
    </row>
    <row r="116" spans="1:29" s="1" customFormat="1" ht="13.5" customHeight="1">
      <c r="A116" s="31" t="s">
        <v>130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91</v>
      </c>
      <c r="M116" s="32"/>
      <c r="N116" s="32"/>
      <c r="O116" s="32" t="s">
        <v>175</v>
      </c>
      <c r="P116" s="32"/>
      <c r="Q116" s="32"/>
      <c r="R116" s="33" t="s">
        <v>131</v>
      </c>
      <c r="S116" s="33"/>
      <c r="T116" s="34">
        <f>78760</f>
        <v>78760</v>
      </c>
      <c r="U116" s="34"/>
      <c r="V116" s="34"/>
      <c r="W116" s="36" t="s">
        <v>45</v>
      </c>
      <c r="X116" s="36"/>
      <c r="Y116" s="36"/>
      <c r="Z116" s="36"/>
      <c r="AA116" s="36"/>
      <c r="AB116" s="35">
        <f>78760</f>
        <v>78760</v>
      </c>
      <c r="AC116" s="35"/>
    </row>
    <row r="117" spans="1:29" s="1" customFormat="1" ht="13.5" customHeight="1">
      <c r="A117" s="31" t="s">
        <v>136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91</v>
      </c>
      <c r="M117" s="32"/>
      <c r="N117" s="32"/>
      <c r="O117" s="32" t="s">
        <v>175</v>
      </c>
      <c r="P117" s="32"/>
      <c r="Q117" s="32"/>
      <c r="R117" s="33" t="s">
        <v>137</v>
      </c>
      <c r="S117" s="33"/>
      <c r="T117" s="34">
        <f>21240</f>
        <v>21240</v>
      </c>
      <c r="U117" s="34"/>
      <c r="V117" s="34"/>
      <c r="W117" s="34">
        <f>21240</f>
        <v>21240</v>
      </c>
      <c r="X117" s="34"/>
      <c r="Y117" s="34"/>
      <c r="Z117" s="34"/>
      <c r="AA117" s="34"/>
      <c r="AB117" s="35">
        <f>0</f>
        <v>0</v>
      </c>
      <c r="AC117" s="35"/>
    </row>
    <row r="118" spans="1:29" s="1" customFormat="1" ht="13.5" customHeight="1">
      <c r="A118" s="31" t="s">
        <v>92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91</v>
      </c>
      <c r="M118" s="32"/>
      <c r="N118" s="32"/>
      <c r="O118" s="32" t="s">
        <v>176</v>
      </c>
      <c r="P118" s="32"/>
      <c r="Q118" s="32"/>
      <c r="R118" s="33" t="s">
        <v>94</v>
      </c>
      <c r="S118" s="33"/>
      <c r="T118" s="34">
        <f>165.5</f>
        <v>165.5</v>
      </c>
      <c r="U118" s="34"/>
      <c r="V118" s="34"/>
      <c r="W118" s="34">
        <f>165.5</f>
        <v>165.5</v>
      </c>
      <c r="X118" s="34"/>
      <c r="Y118" s="34"/>
      <c r="Z118" s="34"/>
      <c r="AA118" s="34"/>
      <c r="AB118" s="35">
        <f>0</f>
        <v>0</v>
      </c>
      <c r="AC118" s="35"/>
    </row>
    <row r="119" spans="1:29" s="1" customFormat="1" ht="13.5" customHeight="1">
      <c r="A119" s="31" t="s">
        <v>100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91</v>
      </c>
      <c r="M119" s="32"/>
      <c r="N119" s="32"/>
      <c r="O119" s="32" t="s">
        <v>177</v>
      </c>
      <c r="P119" s="32"/>
      <c r="Q119" s="32"/>
      <c r="R119" s="33" t="s">
        <v>102</v>
      </c>
      <c r="S119" s="33"/>
      <c r="T119" s="34">
        <f>49.98</f>
        <v>49.98</v>
      </c>
      <c r="U119" s="34"/>
      <c r="V119" s="34"/>
      <c r="W119" s="34">
        <f>49.97</f>
        <v>49.97</v>
      </c>
      <c r="X119" s="34"/>
      <c r="Y119" s="34"/>
      <c r="Z119" s="34"/>
      <c r="AA119" s="34"/>
      <c r="AB119" s="35">
        <f>0.01</f>
        <v>0.01</v>
      </c>
      <c r="AC119" s="35"/>
    </row>
    <row r="120" spans="1:29" s="1" customFormat="1" ht="13.5" customHeight="1">
      <c r="A120" s="31" t="s">
        <v>121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91</v>
      </c>
      <c r="M120" s="32"/>
      <c r="N120" s="32"/>
      <c r="O120" s="32" t="s">
        <v>178</v>
      </c>
      <c r="P120" s="32"/>
      <c r="Q120" s="32"/>
      <c r="R120" s="33" t="s">
        <v>122</v>
      </c>
      <c r="S120" s="33"/>
      <c r="T120" s="34">
        <f>149950</f>
        <v>149950</v>
      </c>
      <c r="U120" s="34"/>
      <c r="V120" s="34"/>
      <c r="W120" s="36" t="s">
        <v>45</v>
      </c>
      <c r="X120" s="36"/>
      <c r="Y120" s="36"/>
      <c r="Z120" s="36"/>
      <c r="AA120" s="36"/>
      <c r="AB120" s="35">
        <f>149950</f>
        <v>149950</v>
      </c>
      <c r="AC120" s="35"/>
    </row>
    <row r="121" spans="1:29" s="1" customFormat="1" ht="13.5" customHeight="1">
      <c r="A121" s="31" t="s">
        <v>126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91</v>
      </c>
      <c r="M121" s="32"/>
      <c r="N121" s="32"/>
      <c r="O121" s="32" t="s">
        <v>179</v>
      </c>
      <c r="P121" s="32"/>
      <c r="Q121" s="32"/>
      <c r="R121" s="33" t="s">
        <v>127</v>
      </c>
      <c r="S121" s="33"/>
      <c r="T121" s="34">
        <f>819000</f>
        <v>819000</v>
      </c>
      <c r="U121" s="34"/>
      <c r="V121" s="34"/>
      <c r="W121" s="34">
        <f>253475.88</f>
        <v>253475.88</v>
      </c>
      <c r="X121" s="34"/>
      <c r="Y121" s="34"/>
      <c r="Z121" s="34"/>
      <c r="AA121" s="34"/>
      <c r="AB121" s="35">
        <f>565524.12</f>
        <v>565524.12</v>
      </c>
      <c r="AC121" s="35"/>
    </row>
    <row r="122" spans="1:29" s="1" customFormat="1" ht="13.5" customHeight="1">
      <c r="A122" s="31" t="s">
        <v>121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91</v>
      </c>
      <c r="M122" s="32"/>
      <c r="N122" s="32"/>
      <c r="O122" s="32" t="s">
        <v>180</v>
      </c>
      <c r="P122" s="32"/>
      <c r="Q122" s="32"/>
      <c r="R122" s="33" t="s">
        <v>122</v>
      </c>
      <c r="S122" s="33"/>
      <c r="T122" s="34">
        <f>25000</f>
        <v>25000</v>
      </c>
      <c r="U122" s="34"/>
      <c r="V122" s="34"/>
      <c r="W122" s="34">
        <f>15000</f>
        <v>15000</v>
      </c>
      <c r="X122" s="34"/>
      <c r="Y122" s="34"/>
      <c r="Z122" s="34"/>
      <c r="AA122" s="34"/>
      <c r="AB122" s="35">
        <f>10000</f>
        <v>10000</v>
      </c>
      <c r="AC122" s="35"/>
    </row>
    <row r="123" spans="1:29" s="1" customFormat="1" ht="24" customHeight="1">
      <c r="A123" s="31" t="s">
        <v>138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91</v>
      </c>
      <c r="M123" s="32"/>
      <c r="N123" s="32"/>
      <c r="O123" s="32" t="s">
        <v>181</v>
      </c>
      <c r="P123" s="32"/>
      <c r="Q123" s="32"/>
      <c r="R123" s="33" t="s">
        <v>139</v>
      </c>
      <c r="S123" s="33"/>
      <c r="T123" s="34">
        <f>50000</f>
        <v>50000</v>
      </c>
      <c r="U123" s="34"/>
      <c r="V123" s="34"/>
      <c r="W123" s="36" t="s">
        <v>45</v>
      </c>
      <c r="X123" s="36"/>
      <c r="Y123" s="36"/>
      <c r="Z123" s="36"/>
      <c r="AA123" s="36"/>
      <c r="AB123" s="35">
        <f>50000</f>
        <v>50000</v>
      </c>
      <c r="AC123" s="35"/>
    </row>
    <row r="124" spans="1:29" s="1" customFormat="1" ht="24" customHeight="1">
      <c r="A124" s="31" t="s">
        <v>182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91</v>
      </c>
      <c r="M124" s="32"/>
      <c r="N124" s="32"/>
      <c r="O124" s="32" t="s">
        <v>183</v>
      </c>
      <c r="P124" s="32"/>
      <c r="Q124" s="32"/>
      <c r="R124" s="33" t="s">
        <v>184</v>
      </c>
      <c r="S124" s="33"/>
      <c r="T124" s="34">
        <f>60000</f>
        <v>60000</v>
      </c>
      <c r="U124" s="34"/>
      <c r="V124" s="34"/>
      <c r="W124" s="34">
        <f>20000</f>
        <v>20000</v>
      </c>
      <c r="X124" s="34"/>
      <c r="Y124" s="34"/>
      <c r="Z124" s="34"/>
      <c r="AA124" s="34"/>
      <c r="AB124" s="35">
        <f>40000</f>
        <v>40000</v>
      </c>
      <c r="AC124" s="35"/>
    </row>
    <row r="125" spans="1:29" s="1" customFormat="1" ht="13.5" customHeight="1">
      <c r="A125" s="31" t="s">
        <v>185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91</v>
      </c>
      <c r="M125" s="32"/>
      <c r="N125" s="32"/>
      <c r="O125" s="32" t="s">
        <v>186</v>
      </c>
      <c r="P125" s="32"/>
      <c r="Q125" s="32"/>
      <c r="R125" s="33" t="s">
        <v>187</v>
      </c>
      <c r="S125" s="33"/>
      <c r="T125" s="34">
        <f>6017232.08</f>
        <v>6017232.08</v>
      </c>
      <c r="U125" s="34"/>
      <c r="V125" s="34"/>
      <c r="W125" s="34">
        <f>4986757.46</f>
        <v>4986757.46</v>
      </c>
      <c r="X125" s="34"/>
      <c r="Y125" s="34"/>
      <c r="Z125" s="34"/>
      <c r="AA125" s="34"/>
      <c r="AB125" s="35">
        <f>1030474.62</f>
        <v>1030474.62</v>
      </c>
      <c r="AC125" s="35"/>
    </row>
    <row r="126" spans="1:29" s="1" customFormat="1" ht="13.5" customHeight="1">
      <c r="A126" s="31" t="s">
        <v>185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91</v>
      </c>
      <c r="M126" s="32"/>
      <c r="N126" s="32"/>
      <c r="O126" s="32" t="s">
        <v>188</v>
      </c>
      <c r="P126" s="32"/>
      <c r="Q126" s="32"/>
      <c r="R126" s="33" t="s">
        <v>187</v>
      </c>
      <c r="S126" s="33"/>
      <c r="T126" s="34">
        <f>1427294.45</f>
        <v>1427294.45</v>
      </c>
      <c r="U126" s="34"/>
      <c r="V126" s="34"/>
      <c r="W126" s="34">
        <f>1427294.45</f>
        <v>1427294.45</v>
      </c>
      <c r="X126" s="34"/>
      <c r="Y126" s="34"/>
      <c r="Z126" s="34"/>
      <c r="AA126" s="34"/>
      <c r="AB126" s="35">
        <f>0</f>
        <v>0</v>
      </c>
      <c r="AC126" s="35"/>
    </row>
    <row r="127" spans="1:29" s="1" customFormat="1" ht="15" customHeight="1">
      <c r="A127" s="38" t="s">
        <v>189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9" t="s">
        <v>190</v>
      </c>
      <c r="M127" s="39"/>
      <c r="N127" s="39"/>
      <c r="O127" s="39" t="s">
        <v>36</v>
      </c>
      <c r="P127" s="39"/>
      <c r="Q127" s="39"/>
      <c r="R127" s="40" t="s">
        <v>36</v>
      </c>
      <c r="S127" s="40"/>
      <c r="T127" s="41">
        <f>-1037111.29</f>
        <v>-1037111.29</v>
      </c>
      <c r="U127" s="41"/>
      <c r="V127" s="41"/>
      <c r="W127" s="41">
        <f>2068047.88</f>
        <v>2068047.88</v>
      </c>
      <c r="X127" s="41"/>
      <c r="Y127" s="41"/>
      <c r="Z127" s="41"/>
      <c r="AA127" s="41"/>
      <c r="AB127" s="42" t="s">
        <v>36</v>
      </c>
      <c r="AC127" s="42"/>
    </row>
    <row r="128" spans="1:29" s="1" customFormat="1" ht="13.5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s="1" customFormat="1" ht="13.5" customHeight="1">
      <c r="A129" s="12" t="s">
        <v>191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s="1" customFormat="1" ht="45.75" customHeight="1">
      <c r="A130" s="13" t="s">
        <v>22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 t="s">
        <v>23</v>
      </c>
      <c r="N130" s="13"/>
      <c r="O130" s="13"/>
      <c r="P130" s="13" t="s">
        <v>192</v>
      </c>
      <c r="Q130" s="13"/>
      <c r="R130" s="13"/>
      <c r="S130" s="14" t="s">
        <v>25</v>
      </c>
      <c r="T130" s="14"/>
      <c r="U130" s="14"/>
      <c r="V130" s="14" t="s">
        <v>26</v>
      </c>
      <c r="W130" s="14"/>
      <c r="X130" s="14"/>
      <c r="Y130" s="14"/>
      <c r="Z130" s="14"/>
      <c r="AA130" s="15" t="s">
        <v>27</v>
      </c>
      <c r="AB130" s="15"/>
      <c r="AC130" s="15"/>
    </row>
    <row r="131" spans="1:29" s="1" customFormat="1" ht="12.75" customHeight="1">
      <c r="A131" s="16" t="s">
        <v>28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 t="s">
        <v>29</v>
      </c>
      <c r="N131" s="16"/>
      <c r="O131" s="16"/>
      <c r="P131" s="16" t="s">
        <v>30</v>
      </c>
      <c r="Q131" s="16"/>
      <c r="R131" s="16"/>
      <c r="S131" s="17" t="s">
        <v>31</v>
      </c>
      <c r="T131" s="17"/>
      <c r="U131" s="17"/>
      <c r="V131" s="17" t="s">
        <v>32</v>
      </c>
      <c r="W131" s="17"/>
      <c r="X131" s="17"/>
      <c r="Y131" s="17"/>
      <c r="Z131" s="17"/>
      <c r="AA131" s="18" t="s">
        <v>33</v>
      </c>
      <c r="AB131" s="18"/>
      <c r="AC131" s="18"/>
    </row>
    <row r="132" spans="1:29" s="1" customFormat="1" ht="13.5" customHeight="1">
      <c r="A132" s="19" t="s">
        <v>193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20" t="s">
        <v>194</v>
      </c>
      <c r="N132" s="20"/>
      <c r="O132" s="20"/>
      <c r="P132" s="20" t="s">
        <v>36</v>
      </c>
      <c r="Q132" s="20"/>
      <c r="R132" s="20"/>
      <c r="S132" s="43">
        <f>1037111.29</f>
        <v>1037111.29</v>
      </c>
      <c r="T132" s="43"/>
      <c r="U132" s="43"/>
      <c r="V132" s="21">
        <f>-2068047.88</f>
        <v>-2068047.88</v>
      </c>
      <c r="W132" s="21"/>
      <c r="X132" s="21"/>
      <c r="Y132" s="21"/>
      <c r="Z132" s="21"/>
      <c r="AA132" s="44" t="s">
        <v>36</v>
      </c>
      <c r="AB132" s="44"/>
      <c r="AC132" s="44"/>
    </row>
    <row r="133" spans="1:29" s="1" customFormat="1" ht="13.5" customHeight="1">
      <c r="A133" s="45" t="s">
        <v>195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6" t="s">
        <v>10</v>
      </c>
      <c r="N133" s="46"/>
      <c r="O133" s="46"/>
      <c r="P133" s="46" t="s">
        <v>10</v>
      </c>
      <c r="Q133" s="46"/>
      <c r="R133" s="46"/>
      <c r="S133" s="47" t="s">
        <v>10</v>
      </c>
      <c r="T133" s="47"/>
      <c r="U133" s="47"/>
      <c r="V133" s="48" t="s">
        <v>10</v>
      </c>
      <c r="W133" s="48"/>
      <c r="X133" s="48"/>
      <c r="Y133" s="48"/>
      <c r="Z133" s="48"/>
      <c r="AA133" s="49" t="s">
        <v>10</v>
      </c>
      <c r="AB133" s="49"/>
      <c r="AC133" s="49"/>
    </row>
    <row r="134" spans="1:29" s="1" customFormat="1" ht="13.5" customHeight="1">
      <c r="A134" s="23" t="s">
        <v>196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50" t="s">
        <v>197</v>
      </c>
      <c r="N134" s="50"/>
      <c r="O134" s="50"/>
      <c r="P134" s="24" t="s">
        <v>36</v>
      </c>
      <c r="Q134" s="24"/>
      <c r="R134" s="24"/>
      <c r="S134" s="51" t="s">
        <v>45</v>
      </c>
      <c r="T134" s="51"/>
      <c r="U134" s="51"/>
      <c r="V134" s="27" t="s">
        <v>45</v>
      </c>
      <c r="W134" s="27"/>
      <c r="X134" s="27"/>
      <c r="Y134" s="27"/>
      <c r="Z134" s="27"/>
      <c r="AA134" s="52" t="s">
        <v>45</v>
      </c>
      <c r="AB134" s="52"/>
      <c r="AC134" s="52"/>
    </row>
    <row r="135" spans="1:29" s="1" customFormat="1" ht="13.5" customHeight="1">
      <c r="A135" s="33" t="s">
        <v>10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s="1" customFormat="1" ht="13.5" customHeight="1">
      <c r="A136" s="31" t="s">
        <v>198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46" t="s">
        <v>199</v>
      </c>
      <c r="N136" s="46"/>
      <c r="O136" s="46"/>
      <c r="P136" s="46" t="s">
        <v>36</v>
      </c>
      <c r="Q136" s="46"/>
      <c r="R136" s="46"/>
      <c r="S136" s="47" t="s">
        <v>45</v>
      </c>
      <c r="T136" s="47"/>
      <c r="U136" s="47"/>
      <c r="V136" s="36" t="s">
        <v>45</v>
      </c>
      <c r="W136" s="36"/>
      <c r="X136" s="36"/>
      <c r="Y136" s="36"/>
      <c r="Z136" s="36"/>
      <c r="AA136" s="49" t="s">
        <v>45</v>
      </c>
      <c r="AB136" s="49"/>
      <c r="AC136" s="49"/>
    </row>
    <row r="137" spans="1:29" s="1" customFormat="1" ht="13.5" customHeight="1">
      <c r="A137" s="31" t="s">
        <v>10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2" t="s">
        <v>199</v>
      </c>
      <c r="N137" s="32"/>
      <c r="O137" s="32"/>
      <c r="P137" s="32" t="s">
        <v>10</v>
      </c>
      <c r="Q137" s="32"/>
      <c r="R137" s="32"/>
      <c r="S137" s="53" t="s">
        <v>45</v>
      </c>
      <c r="T137" s="53"/>
      <c r="U137" s="53"/>
      <c r="V137" s="36" t="s">
        <v>45</v>
      </c>
      <c r="W137" s="36"/>
      <c r="X137" s="36"/>
      <c r="Y137" s="36"/>
      <c r="Z137" s="36"/>
      <c r="AA137" s="54" t="s">
        <v>45</v>
      </c>
      <c r="AB137" s="54"/>
      <c r="AC137" s="54"/>
    </row>
    <row r="138" spans="1:29" s="1" customFormat="1" ht="13.5" customHeight="1">
      <c r="A138" s="31" t="s">
        <v>200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2" t="s">
        <v>201</v>
      </c>
      <c r="N138" s="32"/>
      <c r="O138" s="32"/>
      <c r="P138" s="32" t="s">
        <v>202</v>
      </c>
      <c r="Q138" s="32"/>
      <c r="R138" s="32"/>
      <c r="S138" s="55">
        <f>1037111.29</f>
        <v>1037111.29</v>
      </c>
      <c r="T138" s="55"/>
      <c r="U138" s="55"/>
      <c r="V138" s="34">
        <f>-2068047.88</f>
        <v>-2068047.88</v>
      </c>
      <c r="W138" s="34"/>
      <c r="X138" s="34"/>
      <c r="Y138" s="34"/>
      <c r="Z138" s="34"/>
      <c r="AA138" s="56">
        <f>3105159.17</f>
        <v>3105159.17</v>
      </c>
      <c r="AB138" s="56"/>
      <c r="AC138" s="56"/>
    </row>
    <row r="139" spans="1:29" s="1" customFormat="1" ht="13.5" customHeight="1">
      <c r="A139" s="31" t="s">
        <v>203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2" t="s">
        <v>204</v>
      </c>
      <c r="N139" s="32"/>
      <c r="O139" s="32"/>
      <c r="P139" s="32" t="s">
        <v>205</v>
      </c>
      <c r="Q139" s="32"/>
      <c r="R139" s="32"/>
      <c r="S139" s="55">
        <f>-30509826.76</f>
        <v>-30509826.76</v>
      </c>
      <c r="T139" s="55"/>
      <c r="U139" s="55"/>
      <c r="V139" s="34">
        <f>-16773518.84</f>
        <v>-16773518.84</v>
      </c>
      <c r="W139" s="34"/>
      <c r="X139" s="34"/>
      <c r="Y139" s="34"/>
      <c r="Z139" s="34"/>
      <c r="AA139" s="57" t="s">
        <v>36</v>
      </c>
      <c r="AB139" s="57"/>
      <c r="AC139" s="57"/>
    </row>
    <row r="140" spans="1:29" s="1" customFormat="1" ht="13.5" customHeight="1">
      <c r="A140" s="31" t="s">
        <v>206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2" t="s">
        <v>207</v>
      </c>
      <c r="N140" s="32"/>
      <c r="O140" s="32"/>
      <c r="P140" s="32" t="s">
        <v>208</v>
      </c>
      <c r="Q140" s="32"/>
      <c r="R140" s="32"/>
      <c r="S140" s="55">
        <f>31546938.05</f>
        <v>31546938.05</v>
      </c>
      <c r="T140" s="55"/>
      <c r="U140" s="55"/>
      <c r="V140" s="34">
        <f>14705470.96</f>
        <v>14705470.96</v>
      </c>
      <c r="W140" s="34"/>
      <c r="X140" s="34"/>
      <c r="Y140" s="34"/>
      <c r="Z140" s="34"/>
      <c r="AA140" s="57" t="s">
        <v>36</v>
      </c>
      <c r="AB140" s="57"/>
      <c r="AC140" s="57"/>
    </row>
    <row r="141" spans="1:29" s="1" customFormat="1" ht="13.5" customHeight="1">
      <c r="A141" s="59" t="s">
        <v>10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1:29" s="1" customFormat="1" ht="13.5" customHeight="1">
      <c r="A142" s="7" t="s">
        <v>209</v>
      </c>
      <c r="B142" s="7"/>
      <c r="C142" s="7"/>
      <c r="D142" s="7"/>
      <c r="E142" s="7"/>
      <c r="F142" s="7"/>
      <c r="G142" s="7"/>
      <c r="H142" s="7"/>
      <c r="I142" s="58" t="s">
        <v>10</v>
      </c>
      <c r="J142" s="58"/>
      <c r="K142" s="58"/>
      <c r="L142" s="58"/>
      <c r="M142" s="58"/>
      <c r="N142" s="58"/>
      <c r="O142" s="58"/>
      <c r="P142" s="58" t="s">
        <v>210</v>
      </c>
      <c r="Q142" s="58"/>
      <c r="R142" s="58"/>
      <c r="S142" s="58"/>
      <c r="T142" s="58"/>
      <c r="U142" s="7" t="s">
        <v>10</v>
      </c>
      <c r="V142" s="7"/>
      <c r="W142" s="7"/>
      <c r="X142" s="7"/>
      <c r="Y142" s="7"/>
      <c r="Z142" s="7"/>
      <c r="AA142" s="7"/>
      <c r="AB142" s="7"/>
      <c r="AC142" s="7"/>
    </row>
    <row r="143" spans="1:29" s="1" customFormat="1" ht="13.5" customHeight="1">
      <c r="A143" s="7" t="s">
        <v>10</v>
      </c>
      <c r="B143" s="7"/>
      <c r="C143" s="7"/>
      <c r="D143" s="7"/>
      <c r="E143" s="7"/>
      <c r="F143" s="7"/>
      <c r="G143" s="7"/>
      <c r="H143" s="7"/>
      <c r="I143" s="10" t="s">
        <v>10</v>
      </c>
      <c r="J143" s="60" t="s">
        <v>211</v>
      </c>
      <c r="K143" s="60"/>
      <c r="L143" s="60"/>
      <c r="M143" s="60"/>
      <c r="N143" s="7" t="s">
        <v>10</v>
      </c>
      <c r="O143" s="7"/>
      <c r="P143" s="10" t="s">
        <v>10</v>
      </c>
      <c r="Q143" s="60" t="s">
        <v>212</v>
      </c>
      <c r="R143" s="60"/>
      <c r="S143" s="60"/>
      <c r="T143" s="7" t="s">
        <v>10</v>
      </c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s="1" customFormat="1" ht="7.5" customHeight="1">
      <c r="A144" s="7" t="s">
        <v>10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s="1" customFormat="1" ht="13.5" customHeight="1">
      <c r="A145" s="7" t="s">
        <v>10</v>
      </c>
      <c r="B145" s="7"/>
      <c r="C145" s="7"/>
      <c r="D145" s="7"/>
      <c r="E145" s="7"/>
      <c r="F145" s="7"/>
      <c r="G145" s="7"/>
      <c r="H145" s="7"/>
      <c r="I145" s="58" t="s">
        <v>10</v>
      </c>
      <c r="J145" s="58"/>
      <c r="K145" s="58"/>
      <c r="L145" s="58"/>
      <c r="M145" s="58"/>
      <c r="N145" s="58"/>
      <c r="O145" s="58"/>
      <c r="P145" s="58" t="s">
        <v>213</v>
      </c>
      <c r="Q145" s="58"/>
      <c r="R145" s="58"/>
      <c r="S145" s="58"/>
      <c r="T145" s="58"/>
      <c r="U145" s="7" t="s">
        <v>10</v>
      </c>
      <c r="V145" s="7"/>
      <c r="W145" s="7"/>
      <c r="X145" s="7"/>
      <c r="Y145" s="7"/>
      <c r="Z145" s="7"/>
      <c r="AA145" s="7"/>
      <c r="AB145" s="7"/>
      <c r="AC145" s="7"/>
    </row>
    <row r="146" spans="1:29" s="1" customFormat="1" ht="13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10" t="s">
        <v>10</v>
      </c>
      <c r="J146" s="60" t="s">
        <v>211</v>
      </c>
      <c r="K146" s="60"/>
      <c r="L146" s="60"/>
      <c r="M146" s="60"/>
      <c r="N146" s="7" t="s">
        <v>10</v>
      </c>
      <c r="O146" s="7"/>
      <c r="P146" s="10" t="s">
        <v>10</v>
      </c>
      <c r="Q146" s="60" t="s">
        <v>212</v>
      </c>
      <c r="R146" s="60"/>
      <c r="S146" s="60"/>
      <c r="T146" s="7" t="s">
        <v>10</v>
      </c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s="1" customFormat="1" ht="7.5" customHeight="1">
      <c r="A147" s="7" t="s">
        <v>10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s="1" customFormat="1" ht="13.5" customHeight="1">
      <c r="A148" s="7" t="s">
        <v>214</v>
      </c>
      <c r="B148" s="7"/>
      <c r="C148" s="58" t="s">
        <v>219</v>
      </c>
      <c r="D148" s="58"/>
      <c r="E148" s="58"/>
      <c r="F148" s="58"/>
      <c r="G148" s="58"/>
      <c r="H148" s="58"/>
      <c r="I148" s="58" t="s">
        <v>10</v>
      </c>
      <c r="J148" s="58"/>
      <c r="K148" s="58"/>
      <c r="L148" s="58"/>
      <c r="M148" s="58"/>
      <c r="N148" s="58"/>
      <c r="O148" s="58"/>
      <c r="P148" s="58" t="s">
        <v>215</v>
      </c>
      <c r="Q148" s="58"/>
      <c r="R148" s="58"/>
      <c r="S148" s="58"/>
      <c r="T148" s="58"/>
      <c r="U148" s="7" t="s">
        <v>10</v>
      </c>
      <c r="V148" s="7"/>
      <c r="W148" s="7"/>
      <c r="X148" s="7"/>
      <c r="Y148" s="7"/>
      <c r="Z148" s="7"/>
      <c r="AA148" s="7"/>
      <c r="AB148" s="7"/>
      <c r="AC148" s="7"/>
    </row>
    <row r="149" spans="1:29" s="1" customFormat="1" ht="13.5" customHeight="1">
      <c r="A149" s="7" t="s">
        <v>10</v>
      </c>
      <c r="B149" s="7"/>
      <c r="C149" s="10" t="s">
        <v>10</v>
      </c>
      <c r="D149" s="60" t="s">
        <v>216</v>
      </c>
      <c r="E149" s="60"/>
      <c r="F149" s="60"/>
      <c r="G149" s="60"/>
      <c r="H149" s="10" t="s">
        <v>10</v>
      </c>
      <c r="I149" s="10" t="s">
        <v>10</v>
      </c>
      <c r="J149" s="60" t="s">
        <v>211</v>
      </c>
      <c r="K149" s="60"/>
      <c r="L149" s="60"/>
      <c r="M149" s="60"/>
      <c r="N149" s="7" t="s">
        <v>10</v>
      </c>
      <c r="O149" s="7"/>
      <c r="P149" s="10" t="s">
        <v>10</v>
      </c>
      <c r="Q149" s="60" t="s">
        <v>212</v>
      </c>
      <c r="R149" s="60"/>
      <c r="S149" s="60"/>
      <c r="T149" s="7" t="s">
        <v>10</v>
      </c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s="1" customFormat="1" ht="15.75" customHeight="1">
      <c r="A150" s="7" t="s">
        <v>10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s="1" customFormat="1" ht="13.5" customHeight="1">
      <c r="A151" s="61" t="s">
        <v>217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7" t="s">
        <v>10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s="1" customFormat="1" ht="13.5" customHeight="1">
      <c r="A152" s="4" t="s">
        <v>218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</sheetData>
  <sheetProtection/>
  <mergeCells count="902">
    <mergeCell ref="A150:AC150"/>
    <mergeCell ref="A151:J151"/>
    <mergeCell ref="K151:AC151"/>
    <mergeCell ref="A152:AC152"/>
    <mergeCell ref="A149:B149"/>
    <mergeCell ref="D149:G149"/>
    <mergeCell ref="J149:M149"/>
    <mergeCell ref="N149:O149"/>
    <mergeCell ref="Q149:S149"/>
    <mergeCell ref="T149:AC149"/>
    <mergeCell ref="A147:AC147"/>
    <mergeCell ref="A148:B148"/>
    <mergeCell ref="C148:H148"/>
    <mergeCell ref="I148:O148"/>
    <mergeCell ref="P148:T148"/>
    <mergeCell ref="U148:AC148"/>
    <mergeCell ref="A144:AC144"/>
    <mergeCell ref="A145:H145"/>
    <mergeCell ref="I145:O145"/>
    <mergeCell ref="P145:T145"/>
    <mergeCell ref="U145:AC145"/>
    <mergeCell ref="A146:H146"/>
    <mergeCell ref="J146:M146"/>
    <mergeCell ref="N146:O146"/>
    <mergeCell ref="Q146:S146"/>
    <mergeCell ref="T146:AC146"/>
    <mergeCell ref="A141:AC141"/>
    <mergeCell ref="A142:H142"/>
    <mergeCell ref="I142:O142"/>
    <mergeCell ref="P142:T142"/>
    <mergeCell ref="U142:AC142"/>
    <mergeCell ref="A143:H143"/>
    <mergeCell ref="J143:M143"/>
    <mergeCell ref="N143:O143"/>
    <mergeCell ref="Q143:S143"/>
    <mergeCell ref="T143:AC143"/>
    <mergeCell ref="A140:L140"/>
    <mergeCell ref="M140:O140"/>
    <mergeCell ref="P140:R140"/>
    <mergeCell ref="S140:U140"/>
    <mergeCell ref="V140:Z140"/>
    <mergeCell ref="AA140:AC140"/>
    <mergeCell ref="A139:L139"/>
    <mergeCell ref="M139:O139"/>
    <mergeCell ref="P139:R139"/>
    <mergeCell ref="S139:U139"/>
    <mergeCell ref="V139:Z139"/>
    <mergeCell ref="AA139:AC139"/>
    <mergeCell ref="A138:L138"/>
    <mergeCell ref="M138:O138"/>
    <mergeCell ref="P138:R138"/>
    <mergeCell ref="S138:U138"/>
    <mergeCell ref="V138:Z138"/>
    <mergeCell ref="AA138:AC138"/>
    <mergeCell ref="A137:L137"/>
    <mergeCell ref="M137:O137"/>
    <mergeCell ref="P137:R137"/>
    <mergeCell ref="S137:U137"/>
    <mergeCell ref="V137:Z137"/>
    <mergeCell ref="AA137:AC137"/>
    <mergeCell ref="A135:AC135"/>
    <mergeCell ref="A136:L136"/>
    <mergeCell ref="M136:O136"/>
    <mergeCell ref="P136:R136"/>
    <mergeCell ref="S136:U136"/>
    <mergeCell ref="V136:Z136"/>
    <mergeCell ref="AA136:AC136"/>
    <mergeCell ref="A134:L134"/>
    <mergeCell ref="M134:O134"/>
    <mergeCell ref="P134:R134"/>
    <mergeCell ref="S134:U134"/>
    <mergeCell ref="V134:Z134"/>
    <mergeCell ref="AA134:AC134"/>
    <mergeCell ref="A133:L133"/>
    <mergeCell ref="M133:O133"/>
    <mergeCell ref="P133:R133"/>
    <mergeCell ref="S133:U133"/>
    <mergeCell ref="V133:Z133"/>
    <mergeCell ref="AA133:AC133"/>
    <mergeCell ref="A132:L132"/>
    <mergeCell ref="M132:O132"/>
    <mergeCell ref="P132:R132"/>
    <mergeCell ref="S132:U132"/>
    <mergeCell ref="V132:Z132"/>
    <mergeCell ref="AA132:AC132"/>
    <mergeCell ref="A131:L131"/>
    <mergeCell ref="M131:O131"/>
    <mergeCell ref="P131:R131"/>
    <mergeCell ref="S131:U131"/>
    <mergeCell ref="V131:Z131"/>
    <mergeCell ref="AA131:AC131"/>
    <mergeCell ref="A128:AC128"/>
    <mergeCell ref="A129:AC129"/>
    <mergeCell ref="A130:L130"/>
    <mergeCell ref="M130:O130"/>
    <mergeCell ref="P130:R130"/>
    <mergeCell ref="S130:U130"/>
    <mergeCell ref="V130:Z130"/>
    <mergeCell ref="AA130:AC130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37:AC37"/>
    <mergeCell ref="A38:AC38"/>
    <mergeCell ref="A39:K39"/>
    <mergeCell ref="L39:N39"/>
    <mergeCell ref="O39:Q39"/>
    <mergeCell ref="R39:S39"/>
    <mergeCell ref="T39:V39"/>
    <mergeCell ref="W39:AA39"/>
    <mergeCell ref="AB39:AC39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orientation="landscape" paperSize="9" scale="85" r:id="rId1"/>
  <headerFooter alignWithMargins="0">
    <oddFooter>&amp;CСтраница &amp;С из &amp;К</oddFooter>
  </headerFooter>
  <rowBreaks count="2" manualBreakCount="2">
    <brk id="37" max="255" man="1"/>
    <brk id="12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2020-06-03T09:05:50Z</cp:lastPrinted>
  <dcterms:created xsi:type="dcterms:W3CDTF">2020-06-03T09:04:54Z</dcterms:created>
  <dcterms:modified xsi:type="dcterms:W3CDTF">2020-06-03T09:05:53Z</dcterms:modified>
  <cp:category/>
  <cp:version/>
  <cp:contentType/>
  <cp:contentStatus/>
</cp:coreProperties>
</file>