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<sst xmlns="http://schemas.openxmlformats.org/spreadsheetml/2006/main" count="604" uniqueCount="219">
  <si>
    <t>ОТЧЕТ ОБ ИСПОЛНЕНИИ БЮДЖЕТА</t>
  </si>
  <si>
    <t>КОДЫ</t>
  </si>
  <si>
    <t xml:space="preserve">Форма по ОКУД </t>
  </si>
  <si>
    <t>0503117</t>
  </si>
  <si>
    <t>на 1 августа 2020 г.</t>
  </si>
  <si>
    <t xml:space="preserve">Дата </t>
  </si>
  <si>
    <t>Наименование финансового органа</t>
  </si>
  <si>
    <t>Департамент финансов Нефтеюганского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</si>
  <si>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</si>
  <si>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</si>
  <si>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</si>
  <si>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</si>
  <si>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Лемпино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</si>
  <si>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</si>
  <si>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</si>
  <si>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</si>
  <si>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</si>
  <si>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</si>
  <si>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</si>
  <si>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</si>
  <si>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</si>
  <si>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</si>
  <si>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</si>
  <si>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</si>
  <si>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</si>
  <si>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</si>
  <si>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</si>
  <si>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</si>
  <si>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</si>
  <si>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</si>
  <si>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</si>
  <si>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</si>
  <si>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</si>
  <si>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</si>
  <si>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</si>
  <si>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</si>
  <si>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</si>
  <si>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</si>
  <si>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</si>
  <si>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</si>
  <si>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</si>
  <si>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</si>
  <si>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</si>
  <si>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</si>
  <si>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</si>
  <si>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</si>
  <si>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</si>
  <si>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</si>
  <si>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</si>
  <si>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</si>
  <si>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</si>
  <si>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</si>
  <si>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</si>
  <si>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</si>
  <si>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</si>
  <si>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</si>
  <si>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</si>
  <si>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</si>
  <si>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</si>
  <si>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</si>
  <si>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</si>
  <si>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</si>
  <si>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</si>
  <si>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</si>
  <si>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</si>
  <si>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</si>
  <si>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</si>
  <si>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</si>
  <si>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</si>
  <si>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</si>
  <si>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</si>
  <si>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</si>
  <si>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</si>
  <si>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</si>
  <si>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</si>
  <si>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</si>
  <si>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</si>
  <si>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</si>
  <si>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</si>
  <si>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</si>
  <si>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</si>
  <si>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</si>
  <si>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</si>
  <si>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Прочие безвозмездные поступления в бюджеты сельских поселений</t>
  </si>
  <si>
    <t>650 20705030 10 0000 150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</si>
  <si>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</si>
  <si>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</si>
  <si>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</si>
  <si>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</si>
  <si>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</si>
  <si>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</si>
  <si>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</si>
  <si>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</si>
  <si>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</si>
  <si>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Прочие несоциальные выплаты персоналу в денежной форме</t>
  </si>
  <si>
    <t>650 0102 5010002030 122</t>
  </si>
  <si>
    <t>212</t>
  </si>
  <si>
    <t>Начисления на выплаты по оплате труда</t>
  </si>
  <si>
    <t>650 0102 5010002030 129</t>
  </si>
  <si>
    <t>213</t>
  </si>
  <si>
    <t>650 0104 1000102040 121</t>
  </si>
  <si>
    <t>Социальные пособия и компенсации персоналу в денежной форме</t>
  </si>
  <si>
    <t>266</t>
  </si>
  <si>
    <t>650 0104 1000102040 122</t>
  </si>
  <si>
    <t>Прочие несоциальные выплаты персоналу в натуральной форме</t>
  </si>
  <si>
    <t>214</t>
  </si>
  <si>
    <t>650 0104 1000102040 129</t>
  </si>
  <si>
    <t>650 0104 5010002040 121</t>
  </si>
  <si>
    <t>650 0104 5010002040 122</t>
  </si>
  <si>
    <t>650 0104 5010002040 129</t>
  </si>
  <si>
    <t>Расходы</t>
  </si>
  <si>
    <t>650 0111 5000020940 870</t>
  </si>
  <si>
    <t>650 0113 1000199990 111</t>
  </si>
  <si>
    <t>650 0113 1000199990 112</t>
  </si>
  <si>
    <t>650 0113 1000199990 119</t>
  </si>
  <si>
    <t>Услуги связи</t>
  </si>
  <si>
    <t>650 0113 1000199990 242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</si>
  <si>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</si>
  <si>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</si>
  <si>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</si>
  <si>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</si>
  <si>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</si>
  <si>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650 0113 1000199990 244</t>
  </si>
  <si>
    <t>Транспортные услуги</t>
  </si>
  <si>
    <t>222</t>
  </si>
  <si>
    <t>Коммунальные услуги</t>
  </si>
  <si>
    <t>223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</si>
  <si>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</si>
  <si>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</si>
  <si>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</si>
  <si>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</si>
  <si>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</si>
  <si>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</si>
  <si>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мягкого инвентаря</t>
  </si>
  <si>
    <t>345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</si>
  <si>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</si>
  <si>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</si>
  <si>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</si>
  <si>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</si>
  <si>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Налоги, пошлины и сборы</t>
  </si>
  <si>
    <t>650 0113 1000199990 852</t>
  </si>
  <si>
    <t>291</t>
  </si>
  <si>
    <t>650 0113 1100199990 244</t>
  </si>
  <si>
    <t>650 0113 5000000600 111</t>
  </si>
  <si>
    <t>650 0113 5000000600 119</t>
  </si>
  <si>
    <t>650 0113 5000000600 242</t>
  </si>
  <si>
    <t>650 0113 5000000600 244</t>
  </si>
  <si>
    <t>650 0113 5000000600 852</t>
  </si>
  <si>
    <t>Иные выплаты текущего характера организациям</t>
  </si>
  <si>
    <t>650 0113 5000009300 853</t>
  </si>
  <si>
    <t>297</t>
  </si>
  <si>
    <t>650 0203 5000051180 121</t>
  </si>
  <si>
    <t>650 0203 5000051180 129</t>
  </si>
  <si>
    <t>650 0304 2010359300 121</t>
  </si>
  <si>
    <t>650 0304 2010359300 129</t>
  </si>
  <si>
    <t>650 0304 20103D9300 121</t>
  </si>
  <si>
    <t>650 0304 20103D9300 129</t>
  </si>
  <si>
    <t>650 0309 0900199990 244</t>
  </si>
  <si>
    <t>650 0314 0200199990 244</t>
  </si>
  <si>
    <t>650 0314 0310182300 123</t>
  </si>
  <si>
    <t>650 0314 03101S2300 123</t>
  </si>
  <si>
    <t>650 0314 0320199990 244</t>
  </si>
  <si>
    <t>650 0405 0600984200 244</t>
  </si>
  <si>
    <t>650 0409 0100120901 244</t>
  </si>
  <si>
    <t>650 0409 0100220902 244</t>
  </si>
  <si>
    <t>650 0410 0400489004 242</t>
  </si>
  <si>
    <t>650 0410 1000103300 242</t>
  </si>
  <si>
    <t>650 0410 1000420904 242</t>
  </si>
  <si>
    <t>650 0501 0800199990 244</t>
  </si>
  <si>
    <t>650 0501 0800299990 244</t>
  </si>
  <si>
    <t>650 0501 5000000350 244</t>
  </si>
  <si>
    <t>650 0503 0500189001 244</t>
  </si>
  <si>
    <t>650 0503 0500189016 244</t>
  </si>
  <si>
    <t>650 0503 0500189017 244</t>
  </si>
  <si>
    <t>650 0503 0500189022 244</t>
  </si>
  <si>
    <t>650 0503 0500199990 244</t>
  </si>
  <si>
    <t>650 0605 1200284290 121</t>
  </si>
  <si>
    <t>650 0605 1200284290 129</t>
  </si>
  <si>
    <t>650 0605 1200289021 244</t>
  </si>
  <si>
    <t>650 0605 1200389002 244</t>
  </si>
  <si>
    <t>650 0705 0600102400 244</t>
  </si>
  <si>
    <t>650 0707 0700199990 244</t>
  </si>
  <si>
    <t>Пенсии, пособия, выплачиваемые работодателями, нанимателями бывшим работникам</t>
  </si>
  <si>
    <t>650 1001 5000004910 321</t>
  </si>
  <si>
    <t>264</t>
  </si>
  <si>
    <t>Перечисления другим бюджетам бюджетной системы Российской Федерации</t>
  </si>
  <si>
    <t>650 1403 1000189020 540</t>
  </si>
  <si>
    <t>251</t>
  </si>
  <si>
    <t>650 1403 5000089020 540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</si>
  <si>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</si>
  <si>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</si>
  <si>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</si>
  <si>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</si>
  <si>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</si>
  <si>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</si>
  <si>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</si>
  <si>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</si>
  <si>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</si>
  <si>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</si>
  <si>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</si>
  <si>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</si>
  <si>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</si>
  <si>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</si>
  <si>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</si>
  <si>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</si>
  <si>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</si>
  <si>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</si>
  <si>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</si>
  <si>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</si>
  <si>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сельского поселения</t>
  </si>
  <si>
    <t>Фоменкина Н. Н.</t>
  </si>
  <si>
    <t>(подпись)</t>
  </si>
  <si>
    <t>(расшифровка подписи)</t>
  </si>
  <si>
    <t>Лапухина Л. Н.</t>
  </si>
  <si>
    <t>Исполнитель:</t>
  </si>
  <si>
    <t>Савранская И. П.</t>
  </si>
  <si>
    <t>(должность)</t>
  </si>
  <si>
    <t xml:space="preserve">   6 августа 2020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</si>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</sst>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3"/>
  <sheetViews>
    <sheetView tabSelected="1" zoomScalePageLayoutView="0" workbookViewId="0" topLeftCell="A127">
      <selection activeCell="AA13" sqref="AA13:AC13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1.2812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0.42578125" style="1" customWidth="1"/>
    <col min="19" max="19" width="3.421875" style="1" customWidth="1"/>
    <col min="20" max="20" width="2.7109375" style="1" customWidth="1"/>
    <col min="21" max="21" width="10.574218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2.140625" style="1" customWidth="1"/>
    <col min="27" max="27" width="1.7109375" style="1" customWidth="1"/>
    <col min="28" max="28" width="3.7109375" style="1" customWidth="1"/>
    <col min="29" max="29" width="10.140625" style="1" customWidth="1"/>
  </cols>
  <sheetData>
    <row r="1" spans="1:29" s="1" customFormat="1" ht="13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2" t="s">
        <v>1</v>
      </c>
    </row>
    <row r="2" spans="1:29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3" t="s">
        <v>3</v>
      </c>
    </row>
    <row r="3" spans="1:29" s="1" customFormat="1" ht="13.5" customHeight="1">
      <c r="A3" s="61" t="s">
        <v>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10" t="s">
        <v>5</v>
      </c>
      <c r="AA3" s="10"/>
      <c r="AB3" s="10"/>
      <c r="AC3" s="4">
        <v>44044</v>
      </c>
    </row>
    <row r="4" spans="1:29" s="1" customFormat="1" ht="13.5" customHeight="1">
      <c r="A4" s="8" t="s">
        <v>6</v>
      </c>
      <c r="B4" s="8"/>
      <c r="C4" s="8"/>
      <c r="D4" s="8"/>
      <c r="E4" s="8"/>
      <c r="F4" s="60" t="s">
        <v>7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10" t="s">
        <v>8</v>
      </c>
      <c r="Z4" s="10"/>
      <c r="AA4" s="10"/>
      <c r="AB4" s="10"/>
      <c r="AC4" s="6" t="s">
        <v>10</v>
      </c>
    </row>
    <row r="5" spans="1:29" s="1" customFormat="1" ht="13.5" customHeight="1">
      <c r="A5" s="8"/>
      <c r="B5" s="8"/>
      <c r="C5" s="8"/>
      <c r="D5" s="8"/>
      <c r="E5" s="8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10" t="s">
        <v>9</v>
      </c>
      <c r="Z5" s="10"/>
      <c r="AA5" s="10"/>
      <c r="AB5" s="10"/>
      <c r="AC5" s="6" t="s">
        <v>10</v>
      </c>
    </row>
    <row r="6" spans="1:29" s="1" customFormat="1" ht="13.5" customHeight="1">
      <c r="A6" s="8" t="s">
        <v>11</v>
      </c>
      <c r="B6" s="8"/>
      <c r="C6" s="8"/>
      <c r="D6" s="8"/>
      <c r="E6" s="8"/>
      <c r="F6" s="8"/>
      <c r="G6" s="60" t="s">
        <v>12</v>
      </c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10" t="s">
        <v>13</v>
      </c>
      <c r="Z6" s="10"/>
      <c r="AA6" s="10"/>
      <c r="AB6" s="10"/>
      <c r="AC6" s="6">
        <v>71818403</v>
      </c>
    </row>
    <row r="7" spans="1:29" s="1" customFormat="1" ht="13.5" customHeight="1">
      <c r="A7" s="5" t="s">
        <v>14</v>
      </c>
      <c r="B7" s="8" t="s">
        <v>15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6" t="s">
        <v>10</v>
      </c>
    </row>
    <row r="8" spans="1:29" s="1" customFormat="1" ht="13.5" customHeight="1">
      <c r="A8" s="8" t="s">
        <v>16</v>
      </c>
      <c r="B8" s="8"/>
      <c r="C8" s="8"/>
      <c r="D8" s="8"/>
      <c r="E8" s="8" t="s">
        <v>17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10" t="s">
        <v>18</v>
      </c>
      <c r="Y8" s="10"/>
      <c r="Z8" s="10"/>
      <c r="AA8" s="10"/>
      <c r="AB8" s="10"/>
      <c r="AC8" s="7" t="s">
        <v>19</v>
      </c>
    </row>
    <row r="9" spans="1:29" s="1" customFormat="1" ht="13.5" customHeight="1">
      <c r="A9" s="44" t="s">
        <v>20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</row>
    <row r="10" spans="1:29" s="1" customFormat="1" ht="34.5" customHeight="1">
      <c r="A10" s="45" t="s">
        <v>21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 t="s">
        <v>22</v>
      </c>
      <c r="N10" s="45"/>
      <c r="O10" s="45"/>
      <c r="P10" s="45" t="s">
        <v>23</v>
      </c>
      <c r="Q10" s="45"/>
      <c r="R10" s="45"/>
      <c r="S10" s="46" t="s">
        <v>24</v>
      </c>
      <c r="T10" s="46"/>
      <c r="U10" s="46"/>
      <c r="V10" s="46" t="s">
        <v>25</v>
      </c>
      <c r="W10" s="46"/>
      <c r="X10" s="46"/>
      <c r="Y10" s="46"/>
      <c r="Z10" s="46"/>
      <c r="AA10" s="47" t="s">
        <v>26</v>
      </c>
      <c r="AB10" s="47"/>
      <c r="AC10" s="47"/>
    </row>
    <row r="11" spans="1:29" s="1" customFormat="1" ht="12.75" customHeight="1">
      <c r="A11" s="40" t="s">
        <v>27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 t="s">
        <v>28</v>
      </c>
      <c r="N11" s="40"/>
      <c r="O11" s="40"/>
      <c r="P11" s="40" t="s">
        <v>29</v>
      </c>
      <c r="Q11" s="40"/>
      <c r="R11" s="40"/>
      <c r="S11" s="41" t="s">
        <v>30</v>
      </c>
      <c r="T11" s="41"/>
      <c r="U11" s="41"/>
      <c r="V11" s="41" t="s">
        <v>31</v>
      </c>
      <c r="W11" s="41"/>
      <c r="X11" s="41"/>
      <c r="Y11" s="41"/>
      <c r="Z11" s="41"/>
      <c r="AA11" s="42" t="s">
        <v>32</v>
      </c>
      <c r="AB11" s="42"/>
      <c r="AC11" s="42"/>
    </row>
    <row r="12" spans="1:29" s="1" customFormat="1" ht="13.5" customHeight="1">
      <c r="A12" s="35" t="s">
        <v>33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 t="s">
        <v>34</v>
      </c>
      <c r="N12" s="36"/>
      <c r="O12" s="36"/>
      <c r="P12" s="36" t="s">
        <v>35</v>
      </c>
      <c r="Q12" s="36"/>
      <c r="R12" s="36"/>
      <c r="S12" s="38">
        <f>32284536.15</f>
        <v>32284536.15</v>
      </c>
      <c r="T12" s="38"/>
      <c r="U12" s="38"/>
      <c r="V12" s="38">
        <f>23222754.35</f>
        <v>23222754.35</v>
      </c>
      <c r="W12" s="38"/>
      <c r="X12" s="38"/>
      <c r="Y12" s="38"/>
      <c r="Z12" s="38"/>
      <c r="AA12" s="55">
        <f>9061781.8</f>
        <v>9061781.8</v>
      </c>
      <c r="AB12" s="55"/>
      <c r="AC12" s="55"/>
    </row>
    <row r="13" spans="1:29" s="1" customFormat="1" ht="66" customHeight="1">
      <c r="A13" s="27" t="s">
        <v>36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9" t="s">
        <v>34</v>
      </c>
      <c r="N13" s="29"/>
      <c r="O13" s="29"/>
      <c r="P13" s="29" t="s">
        <v>37</v>
      </c>
      <c r="Q13" s="29"/>
      <c r="R13" s="29"/>
      <c r="S13" s="57">
        <f>322000</f>
        <v>322000</v>
      </c>
      <c r="T13" s="57"/>
      <c r="U13" s="57"/>
      <c r="V13" s="57">
        <f>191074.52</f>
        <v>191074.52</v>
      </c>
      <c r="W13" s="57"/>
      <c r="X13" s="57"/>
      <c r="Y13" s="57"/>
      <c r="Z13" s="57"/>
      <c r="AA13" s="59">
        <f>130925.48</f>
        <v>130925.48</v>
      </c>
      <c r="AB13" s="59"/>
      <c r="AC13" s="59"/>
    </row>
    <row r="14" spans="1:29" s="1" customFormat="1" ht="75.75" customHeight="1">
      <c r="A14" s="27" t="s">
        <v>38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9" t="s">
        <v>34</v>
      </c>
      <c r="N14" s="29"/>
      <c r="O14" s="29"/>
      <c r="P14" s="29" t="s">
        <v>39</v>
      </c>
      <c r="Q14" s="29"/>
      <c r="R14" s="29"/>
      <c r="S14" s="57">
        <f>2100</f>
        <v>2100</v>
      </c>
      <c r="T14" s="57"/>
      <c r="U14" s="57"/>
      <c r="V14" s="57">
        <f>1248.36</f>
        <v>1248.36</v>
      </c>
      <c r="W14" s="57"/>
      <c r="X14" s="57"/>
      <c r="Y14" s="57"/>
      <c r="Z14" s="57"/>
      <c r="AA14" s="59">
        <f>851.64</f>
        <v>851.64</v>
      </c>
      <c r="AB14" s="59"/>
      <c r="AC14" s="59"/>
    </row>
    <row r="15" spans="1:29" s="1" customFormat="1" ht="66" customHeight="1">
      <c r="A15" s="27" t="s">
        <v>40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9" t="s">
        <v>34</v>
      </c>
      <c r="N15" s="29"/>
      <c r="O15" s="29"/>
      <c r="P15" s="29" t="s">
        <v>41</v>
      </c>
      <c r="Q15" s="29"/>
      <c r="R15" s="29"/>
      <c r="S15" s="57">
        <f>564500</f>
        <v>564500</v>
      </c>
      <c r="T15" s="57"/>
      <c r="U15" s="57"/>
      <c r="V15" s="57">
        <f>252087.16</f>
        <v>252087.16</v>
      </c>
      <c r="W15" s="57"/>
      <c r="X15" s="57"/>
      <c r="Y15" s="57"/>
      <c r="Z15" s="57"/>
      <c r="AA15" s="59">
        <f>312412.84</f>
        <v>312412.84</v>
      </c>
      <c r="AB15" s="59"/>
      <c r="AC15" s="59"/>
    </row>
    <row r="16" spans="1:29" s="1" customFormat="1" ht="66" customHeight="1">
      <c r="A16" s="27" t="s">
        <v>42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9" t="s">
        <v>34</v>
      </c>
      <c r="N16" s="29"/>
      <c r="O16" s="29"/>
      <c r="P16" s="29" t="s">
        <v>43</v>
      </c>
      <c r="Q16" s="29"/>
      <c r="R16" s="29"/>
      <c r="S16" s="31" t="s">
        <v>44</v>
      </c>
      <c r="T16" s="31"/>
      <c r="U16" s="31"/>
      <c r="V16" s="57">
        <f>-37816.91</f>
        <v>-37816.91</v>
      </c>
      <c r="W16" s="57"/>
      <c r="X16" s="57"/>
      <c r="Y16" s="57"/>
      <c r="Z16" s="57"/>
      <c r="AA16" s="58" t="s">
        <v>44</v>
      </c>
      <c r="AB16" s="58"/>
      <c r="AC16" s="58"/>
    </row>
    <row r="17" spans="1:29" s="1" customFormat="1" ht="45" customHeight="1">
      <c r="A17" s="27" t="s">
        <v>45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9" t="s">
        <v>34</v>
      </c>
      <c r="N17" s="29"/>
      <c r="O17" s="29"/>
      <c r="P17" s="29" t="s">
        <v>46</v>
      </c>
      <c r="Q17" s="29"/>
      <c r="R17" s="29"/>
      <c r="S17" s="57">
        <f>1500000</f>
        <v>1500000</v>
      </c>
      <c r="T17" s="57"/>
      <c r="U17" s="57"/>
      <c r="V17" s="57">
        <f>1083836.2</f>
        <v>1083836.2</v>
      </c>
      <c r="W17" s="57"/>
      <c r="X17" s="57"/>
      <c r="Y17" s="57"/>
      <c r="Z17" s="57"/>
      <c r="AA17" s="59">
        <f>416163.8</f>
        <v>416163.8</v>
      </c>
      <c r="AB17" s="59"/>
      <c r="AC17" s="59"/>
    </row>
    <row r="18" spans="1:29" s="1" customFormat="1" ht="24" customHeight="1">
      <c r="A18" s="27" t="s">
        <v>47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9" t="s">
        <v>34</v>
      </c>
      <c r="N18" s="29"/>
      <c r="O18" s="29"/>
      <c r="P18" s="29" t="s">
        <v>48</v>
      </c>
      <c r="Q18" s="29"/>
      <c r="R18" s="29"/>
      <c r="S18" s="31" t="s">
        <v>44</v>
      </c>
      <c r="T18" s="31"/>
      <c r="U18" s="31"/>
      <c r="V18" s="57">
        <f>1954.26</f>
        <v>1954.26</v>
      </c>
      <c r="W18" s="57"/>
      <c r="X18" s="57"/>
      <c r="Y18" s="57"/>
      <c r="Z18" s="57"/>
      <c r="AA18" s="58" t="s">
        <v>44</v>
      </c>
      <c r="AB18" s="58"/>
      <c r="AC18" s="58"/>
    </row>
    <row r="19" spans="1:29" s="1" customFormat="1" ht="13.5" customHeight="1">
      <c r="A19" s="27" t="s">
        <v>49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9" t="s">
        <v>34</v>
      </c>
      <c r="N19" s="29"/>
      <c r="O19" s="29"/>
      <c r="P19" s="29" t="s">
        <v>50</v>
      </c>
      <c r="Q19" s="29"/>
      <c r="R19" s="29"/>
      <c r="S19" s="57">
        <f>128200</f>
        <v>128200</v>
      </c>
      <c r="T19" s="57"/>
      <c r="U19" s="57"/>
      <c r="V19" s="57">
        <f>27897.87</f>
        <v>27897.87</v>
      </c>
      <c r="W19" s="57"/>
      <c r="X19" s="57"/>
      <c r="Y19" s="57"/>
      <c r="Z19" s="57"/>
      <c r="AA19" s="59">
        <f>100302.13</f>
        <v>100302.13</v>
      </c>
      <c r="AB19" s="59"/>
      <c r="AC19" s="59"/>
    </row>
    <row r="20" spans="1:29" s="1" customFormat="1" ht="13.5" customHeight="1">
      <c r="A20" s="27" t="s">
        <v>51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9" t="s">
        <v>34</v>
      </c>
      <c r="N20" s="29"/>
      <c r="O20" s="29"/>
      <c r="P20" s="29" t="s">
        <v>52</v>
      </c>
      <c r="Q20" s="29"/>
      <c r="R20" s="29"/>
      <c r="S20" s="57">
        <f>93500</f>
        <v>93500</v>
      </c>
      <c r="T20" s="57"/>
      <c r="U20" s="57"/>
      <c r="V20" s="31" t="s">
        <v>44</v>
      </c>
      <c r="W20" s="31"/>
      <c r="X20" s="31"/>
      <c r="Y20" s="31"/>
      <c r="Z20" s="31"/>
      <c r="AA20" s="59">
        <f>93500</f>
        <v>93500</v>
      </c>
      <c r="AB20" s="59"/>
      <c r="AC20" s="59"/>
    </row>
    <row r="21" spans="1:29" s="1" customFormat="1" ht="24" customHeight="1">
      <c r="A21" s="27" t="s">
        <v>53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9" t="s">
        <v>34</v>
      </c>
      <c r="N21" s="29"/>
      <c r="O21" s="29"/>
      <c r="P21" s="29" t="s">
        <v>54</v>
      </c>
      <c r="Q21" s="29"/>
      <c r="R21" s="29"/>
      <c r="S21" s="57">
        <f>71300</f>
        <v>71300</v>
      </c>
      <c r="T21" s="57"/>
      <c r="U21" s="57"/>
      <c r="V21" s="57">
        <f>6313.79</f>
        <v>6313.79</v>
      </c>
      <c r="W21" s="57"/>
      <c r="X21" s="57"/>
      <c r="Y21" s="57"/>
      <c r="Z21" s="57"/>
      <c r="AA21" s="59">
        <f>64986.21</f>
        <v>64986.21</v>
      </c>
      <c r="AB21" s="59"/>
      <c r="AC21" s="59"/>
    </row>
    <row r="22" spans="1:29" s="1" customFormat="1" ht="13.5" customHeight="1">
      <c r="A22" s="27" t="s">
        <v>55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9" t="s">
        <v>34</v>
      </c>
      <c r="N22" s="29"/>
      <c r="O22" s="29"/>
      <c r="P22" s="29" t="s">
        <v>56</v>
      </c>
      <c r="Q22" s="29"/>
      <c r="R22" s="29"/>
      <c r="S22" s="57">
        <f>4700</f>
        <v>4700</v>
      </c>
      <c r="T22" s="57"/>
      <c r="U22" s="57"/>
      <c r="V22" s="57">
        <f>839.64</f>
        <v>839.64</v>
      </c>
      <c r="W22" s="57"/>
      <c r="X22" s="57"/>
      <c r="Y22" s="57"/>
      <c r="Z22" s="57"/>
      <c r="AA22" s="59">
        <f>3860.36</f>
        <v>3860.36</v>
      </c>
      <c r="AB22" s="59"/>
      <c r="AC22" s="59"/>
    </row>
    <row r="23" spans="1:29" s="1" customFormat="1" ht="13.5" customHeight="1">
      <c r="A23" s="27" t="s">
        <v>57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9" t="s">
        <v>34</v>
      </c>
      <c r="N23" s="29"/>
      <c r="O23" s="29"/>
      <c r="P23" s="29" t="s">
        <v>58</v>
      </c>
      <c r="Q23" s="29"/>
      <c r="R23" s="29"/>
      <c r="S23" s="57">
        <f>4900</f>
        <v>4900</v>
      </c>
      <c r="T23" s="57"/>
      <c r="U23" s="57"/>
      <c r="V23" s="57">
        <f>1381.89</f>
        <v>1381.89</v>
      </c>
      <c r="W23" s="57"/>
      <c r="X23" s="57"/>
      <c r="Y23" s="57"/>
      <c r="Z23" s="57"/>
      <c r="AA23" s="59">
        <f>3518.11</f>
        <v>3518.11</v>
      </c>
      <c r="AB23" s="59"/>
      <c r="AC23" s="59"/>
    </row>
    <row r="24" spans="1:29" s="1" customFormat="1" ht="24" customHeight="1">
      <c r="A24" s="27" t="s">
        <v>59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9" t="s">
        <v>34</v>
      </c>
      <c r="N24" s="29"/>
      <c r="O24" s="29"/>
      <c r="P24" s="29" t="s">
        <v>60</v>
      </c>
      <c r="Q24" s="29"/>
      <c r="R24" s="29"/>
      <c r="S24" s="57">
        <f>1900</f>
        <v>1900</v>
      </c>
      <c r="T24" s="57"/>
      <c r="U24" s="57"/>
      <c r="V24" s="57">
        <f>51400</f>
        <v>51400</v>
      </c>
      <c r="W24" s="57"/>
      <c r="X24" s="57"/>
      <c r="Y24" s="57"/>
      <c r="Z24" s="57"/>
      <c r="AA24" s="58" t="s">
        <v>44</v>
      </c>
      <c r="AB24" s="58"/>
      <c r="AC24" s="58"/>
    </row>
    <row r="25" spans="1:29" s="1" customFormat="1" ht="24" customHeight="1">
      <c r="A25" s="27" t="s">
        <v>61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9" t="s">
        <v>34</v>
      </c>
      <c r="N25" s="29"/>
      <c r="O25" s="29"/>
      <c r="P25" s="29" t="s">
        <v>62</v>
      </c>
      <c r="Q25" s="29"/>
      <c r="R25" s="29"/>
      <c r="S25" s="57">
        <f>5500</f>
        <v>5500</v>
      </c>
      <c r="T25" s="57"/>
      <c r="U25" s="57"/>
      <c r="V25" s="57">
        <f>1358.55</f>
        <v>1358.55</v>
      </c>
      <c r="W25" s="57"/>
      <c r="X25" s="57"/>
      <c r="Y25" s="57"/>
      <c r="Z25" s="57"/>
      <c r="AA25" s="59">
        <f>4141.45</f>
        <v>4141.45</v>
      </c>
      <c r="AB25" s="59"/>
      <c r="AC25" s="59"/>
    </row>
    <row r="26" spans="1:29" s="1" customFormat="1" ht="45" customHeight="1">
      <c r="A26" s="27" t="s">
        <v>63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9" t="s">
        <v>34</v>
      </c>
      <c r="N26" s="29"/>
      <c r="O26" s="29"/>
      <c r="P26" s="29" t="s">
        <v>64</v>
      </c>
      <c r="Q26" s="29"/>
      <c r="R26" s="29"/>
      <c r="S26" s="57">
        <f>2000</f>
        <v>2000</v>
      </c>
      <c r="T26" s="57"/>
      <c r="U26" s="57"/>
      <c r="V26" s="57">
        <f>1200</f>
        <v>1200</v>
      </c>
      <c r="W26" s="57"/>
      <c r="X26" s="57"/>
      <c r="Y26" s="57"/>
      <c r="Z26" s="57"/>
      <c r="AA26" s="59">
        <f>800</f>
        <v>800</v>
      </c>
      <c r="AB26" s="59"/>
      <c r="AC26" s="59"/>
    </row>
    <row r="27" spans="1:29" s="1" customFormat="1" ht="24" customHeight="1">
      <c r="A27" s="27" t="s">
        <v>65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9" t="s">
        <v>34</v>
      </c>
      <c r="N27" s="29"/>
      <c r="O27" s="29"/>
      <c r="P27" s="29" t="s">
        <v>66</v>
      </c>
      <c r="Q27" s="29"/>
      <c r="R27" s="29"/>
      <c r="S27" s="57">
        <f>269800</f>
        <v>269800</v>
      </c>
      <c r="T27" s="57"/>
      <c r="U27" s="57"/>
      <c r="V27" s="57">
        <f>160716.15</f>
        <v>160716.15</v>
      </c>
      <c r="W27" s="57"/>
      <c r="X27" s="57"/>
      <c r="Y27" s="57"/>
      <c r="Z27" s="57"/>
      <c r="AA27" s="59">
        <f>109083.85</f>
        <v>109083.85</v>
      </c>
      <c r="AB27" s="59"/>
      <c r="AC27" s="59"/>
    </row>
    <row r="28" spans="1:29" s="1" customFormat="1" ht="45" customHeight="1">
      <c r="A28" s="27" t="s">
        <v>67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9" t="s">
        <v>34</v>
      </c>
      <c r="N28" s="29"/>
      <c r="O28" s="29"/>
      <c r="P28" s="29" t="s">
        <v>68</v>
      </c>
      <c r="Q28" s="29"/>
      <c r="R28" s="29"/>
      <c r="S28" s="57">
        <f>134100</f>
        <v>134100</v>
      </c>
      <c r="T28" s="57"/>
      <c r="U28" s="57"/>
      <c r="V28" s="57">
        <f>65787.02</f>
        <v>65787.02</v>
      </c>
      <c r="W28" s="57"/>
      <c r="X28" s="57"/>
      <c r="Y28" s="57"/>
      <c r="Z28" s="57"/>
      <c r="AA28" s="59">
        <f>68312.98</f>
        <v>68312.98</v>
      </c>
      <c r="AB28" s="59"/>
      <c r="AC28" s="59"/>
    </row>
    <row r="29" spans="1:29" s="1" customFormat="1" ht="13.5" customHeight="1">
      <c r="A29" s="27" t="s">
        <v>69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9" t="s">
        <v>34</v>
      </c>
      <c r="N29" s="29"/>
      <c r="O29" s="29"/>
      <c r="P29" s="29" t="s">
        <v>70</v>
      </c>
      <c r="Q29" s="29"/>
      <c r="R29" s="29"/>
      <c r="S29" s="31" t="s">
        <v>44</v>
      </c>
      <c r="T29" s="31"/>
      <c r="U29" s="31"/>
      <c r="V29" s="57">
        <f>53798.08</f>
        <v>53798.08</v>
      </c>
      <c r="W29" s="57"/>
      <c r="X29" s="57"/>
      <c r="Y29" s="57"/>
      <c r="Z29" s="57"/>
      <c r="AA29" s="58" t="s">
        <v>44</v>
      </c>
      <c r="AB29" s="58"/>
      <c r="AC29" s="58"/>
    </row>
    <row r="30" spans="1:29" s="1" customFormat="1" ht="24" customHeight="1">
      <c r="A30" s="27" t="s">
        <v>71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9" t="s">
        <v>34</v>
      </c>
      <c r="N30" s="29"/>
      <c r="O30" s="29"/>
      <c r="P30" s="29" t="s">
        <v>72</v>
      </c>
      <c r="Q30" s="29"/>
      <c r="R30" s="29"/>
      <c r="S30" s="57">
        <f>6882700</f>
        <v>6882700</v>
      </c>
      <c r="T30" s="57"/>
      <c r="U30" s="57"/>
      <c r="V30" s="57">
        <f>4892267</f>
        <v>4892267</v>
      </c>
      <c r="W30" s="57"/>
      <c r="X30" s="57"/>
      <c r="Y30" s="57"/>
      <c r="Z30" s="57"/>
      <c r="AA30" s="59">
        <f>1990433</f>
        <v>1990433</v>
      </c>
      <c r="AB30" s="59"/>
      <c r="AC30" s="59"/>
    </row>
    <row r="31" spans="1:29" s="1" customFormat="1" ht="13.5" customHeight="1">
      <c r="A31" s="27" t="s">
        <v>73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9" t="s">
        <v>34</v>
      </c>
      <c r="N31" s="29"/>
      <c r="O31" s="29"/>
      <c r="P31" s="29" t="s">
        <v>74</v>
      </c>
      <c r="Q31" s="29"/>
      <c r="R31" s="29"/>
      <c r="S31" s="57">
        <f>4826.09</f>
        <v>4826.09</v>
      </c>
      <c r="T31" s="57"/>
      <c r="U31" s="57"/>
      <c r="V31" s="31" t="s">
        <v>44</v>
      </c>
      <c r="W31" s="31"/>
      <c r="X31" s="31"/>
      <c r="Y31" s="31"/>
      <c r="Z31" s="31"/>
      <c r="AA31" s="59">
        <f>4826.09</f>
        <v>4826.09</v>
      </c>
      <c r="AB31" s="59"/>
      <c r="AC31" s="59"/>
    </row>
    <row r="32" spans="1:29" s="1" customFormat="1" ht="24" customHeight="1">
      <c r="A32" s="27" t="s">
        <v>75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9" t="s">
        <v>34</v>
      </c>
      <c r="N32" s="29"/>
      <c r="O32" s="29"/>
      <c r="P32" s="29" t="s">
        <v>76</v>
      </c>
      <c r="Q32" s="29"/>
      <c r="R32" s="29"/>
      <c r="S32" s="57">
        <f>12888.48</f>
        <v>12888.48</v>
      </c>
      <c r="T32" s="57"/>
      <c r="U32" s="57"/>
      <c r="V32" s="57">
        <f>12888.48</f>
        <v>12888.48</v>
      </c>
      <c r="W32" s="57"/>
      <c r="X32" s="57"/>
      <c r="Y32" s="57"/>
      <c r="Z32" s="57"/>
      <c r="AA32" s="59">
        <f>0</f>
        <v>0</v>
      </c>
      <c r="AB32" s="59"/>
      <c r="AC32" s="59"/>
    </row>
    <row r="33" spans="1:29" s="1" customFormat="1" ht="24" customHeight="1">
      <c r="A33" s="27" t="s">
        <v>77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9" t="s">
        <v>34</v>
      </c>
      <c r="N33" s="29"/>
      <c r="O33" s="29"/>
      <c r="P33" s="29" t="s">
        <v>78</v>
      </c>
      <c r="Q33" s="29"/>
      <c r="R33" s="29"/>
      <c r="S33" s="57">
        <f>116724.39</f>
        <v>116724.39</v>
      </c>
      <c r="T33" s="57"/>
      <c r="U33" s="57"/>
      <c r="V33" s="57">
        <f>53733.05</f>
        <v>53733.05</v>
      </c>
      <c r="W33" s="57"/>
      <c r="X33" s="57"/>
      <c r="Y33" s="57"/>
      <c r="Z33" s="57"/>
      <c r="AA33" s="59">
        <f>62991.34</f>
        <v>62991.34</v>
      </c>
      <c r="AB33" s="59"/>
      <c r="AC33" s="59"/>
    </row>
    <row r="34" spans="1:29" s="1" customFormat="1" ht="24" customHeight="1">
      <c r="A34" s="27" t="s">
        <v>79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9" t="s">
        <v>34</v>
      </c>
      <c r="N34" s="29"/>
      <c r="O34" s="29"/>
      <c r="P34" s="29" t="s">
        <v>80</v>
      </c>
      <c r="Q34" s="29"/>
      <c r="R34" s="29"/>
      <c r="S34" s="57">
        <f>5000</f>
        <v>5000</v>
      </c>
      <c r="T34" s="57"/>
      <c r="U34" s="57"/>
      <c r="V34" s="57">
        <f>1000</f>
        <v>1000</v>
      </c>
      <c r="W34" s="57"/>
      <c r="X34" s="57"/>
      <c r="Y34" s="57"/>
      <c r="Z34" s="57"/>
      <c r="AA34" s="59">
        <f>4000</f>
        <v>4000</v>
      </c>
      <c r="AB34" s="59"/>
      <c r="AC34" s="59"/>
    </row>
    <row r="35" spans="1:29" s="1" customFormat="1" ht="24" customHeight="1">
      <c r="A35" s="27" t="s">
        <v>81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9" t="s">
        <v>34</v>
      </c>
      <c r="N35" s="29"/>
      <c r="O35" s="29"/>
      <c r="P35" s="29" t="s">
        <v>82</v>
      </c>
      <c r="Q35" s="29"/>
      <c r="R35" s="29"/>
      <c r="S35" s="57">
        <f>22157897.19</f>
        <v>22157897.19</v>
      </c>
      <c r="T35" s="57"/>
      <c r="U35" s="57"/>
      <c r="V35" s="57">
        <f>16317939.24</f>
        <v>16317939.24</v>
      </c>
      <c r="W35" s="57"/>
      <c r="X35" s="57"/>
      <c r="Y35" s="57"/>
      <c r="Z35" s="57"/>
      <c r="AA35" s="59">
        <f>5839957.95</f>
        <v>5839957.95</v>
      </c>
      <c r="AB35" s="59"/>
      <c r="AC35" s="59"/>
    </row>
    <row r="36" spans="1:29" s="1" customFormat="1" ht="13.5" customHeight="1">
      <c r="A36" s="27" t="s">
        <v>83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9" t="s">
        <v>34</v>
      </c>
      <c r="N36" s="29"/>
      <c r="O36" s="29"/>
      <c r="P36" s="29" t="s">
        <v>84</v>
      </c>
      <c r="Q36" s="29"/>
      <c r="R36" s="29"/>
      <c r="S36" s="31" t="s">
        <v>44</v>
      </c>
      <c r="T36" s="31"/>
      <c r="U36" s="31"/>
      <c r="V36" s="57">
        <f>81850</f>
        <v>81850</v>
      </c>
      <c r="W36" s="57"/>
      <c r="X36" s="57"/>
      <c r="Y36" s="57"/>
      <c r="Z36" s="57"/>
      <c r="AA36" s="58" t="s">
        <v>44</v>
      </c>
      <c r="AB36" s="58"/>
      <c r="AC36" s="58"/>
    </row>
    <row r="37" spans="1:29" s="1" customFormat="1" ht="13.5" customHeight="1">
      <c r="A37" s="56" t="s">
        <v>10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</row>
    <row r="38" spans="1:29" s="1" customFormat="1" ht="13.5" customHeight="1">
      <c r="A38" s="44" t="s">
        <v>85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</row>
    <row r="39" spans="1:29" s="1" customFormat="1" ht="34.5" customHeight="1">
      <c r="A39" s="45" t="s">
        <v>21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 t="s">
        <v>22</v>
      </c>
      <c r="M39" s="45"/>
      <c r="N39" s="45"/>
      <c r="O39" s="45" t="s">
        <v>86</v>
      </c>
      <c r="P39" s="45"/>
      <c r="Q39" s="45"/>
      <c r="R39" s="46" t="s">
        <v>87</v>
      </c>
      <c r="S39" s="46"/>
      <c r="T39" s="46" t="s">
        <v>24</v>
      </c>
      <c r="U39" s="46"/>
      <c r="V39" s="46"/>
      <c r="W39" s="46" t="s">
        <v>25</v>
      </c>
      <c r="X39" s="46"/>
      <c r="Y39" s="46"/>
      <c r="Z39" s="46"/>
      <c r="AA39" s="46"/>
      <c r="AB39" s="47" t="s">
        <v>26</v>
      </c>
      <c r="AC39" s="47"/>
    </row>
    <row r="40" spans="1:29" s="1" customFormat="1" ht="13.5" customHeight="1">
      <c r="A40" s="40" t="s">
        <v>27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 t="s">
        <v>28</v>
      </c>
      <c r="M40" s="40"/>
      <c r="N40" s="40"/>
      <c r="O40" s="40" t="s">
        <v>29</v>
      </c>
      <c r="P40" s="40"/>
      <c r="Q40" s="40"/>
      <c r="R40" s="41" t="s">
        <v>30</v>
      </c>
      <c r="S40" s="41"/>
      <c r="T40" s="41" t="s">
        <v>31</v>
      </c>
      <c r="U40" s="41"/>
      <c r="V40" s="41"/>
      <c r="W40" s="41" t="s">
        <v>32</v>
      </c>
      <c r="X40" s="41"/>
      <c r="Y40" s="41"/>
      <c r="Z40" s="41"/>
      <c r="AA40" s="41"/>
      <c r="AB40" s="42" t="s">
        <v>88</v>
      </c>
      <c r="AC40" s="42"/>
    </row>
    <row r="41" spans="1:29" s="1" customFormat="1" ht="13.5" customHeight="1">
      <c r="A41" s="35" t="s">
        <v>89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6" t="s">
        <v>90</v>
      </c>
      <c r="M41" s="36"/>
      <c r="N41" s="36"/>
      <c r="O41" s="36" t="s">
        <v>35</v>
      </c>
      <c r="P41" s="36"/>
      <c r="Q41" s="36"/>
      <c r="R41" s="54" t="s">
        <v>35</v>
      </c>
      <c r="S41" s="54"/>
      <c r="T41" s="38">
        <f>33321647.44</f>
        <v>33321647.44</v>
      </c>
      <c r="U41" s="38"/>
      <c r="V41" s="38"/>
      <c r="W41" s="38">
        <f>21273256.67</f>
        <v>21273256.67</v>
      </c>
      <c r="X41" s="38"/>
      <c r="Y41" s="38"/>
      <c r="Z41" s="38"/>
      <c r="AA41" s="38"/>
      <c r="AB41" s="55">
        <f>12048390.77</f>
        <v>12048390.77</v>
      </c>
      <c r="AC41" s="55"/>
    </row>
    <row r="42" spans="1:29" s="1" customFormat="1" ht="13.5" customHeight="1">
      <c r="A42" s="14" t="s">
        <v>91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 t="s">
        <v>90</v>
      </c>
      <c r="M42" s="15"/>
      <c r="N42" s="15"/>
      <c r="O42" s="15" t="s">
        <v>92</v>
      </c>
      <c r="P42" s="15"/>
      <c r="Q42" s="15"/>
      <c r="R42" s="23" t="s">
        <v>93</v>
      </c>
      <c r="S42" s="23"/>
      <c r="T42" s="17">
        <f>824095.62</f>
        <v>824095.62</v>
      </c>
      <c r="U42" s="17"/>
      <c r="V42" s="17"/>
      <c r="W42" s="17">
        <f>759853.03</f>
        <v>759853.03</v>
      </c>
      <c r="X42" s="17"/>
      <c r="Y42" s="17"/>
      <c r="Z42" s="17"/>
      <c r="AA42" s="17"/>
      <c r="AB42" s="52">
        <f>64242.59</f>
        <v>64242.59</v>
      </c>
      <c r="AC42" s="52"/>
    </row>
    <row r="43" spans="1:29" s="1" customFormat="1" ht="13.5" customHeight="1">
      <c r="A43" s="14" t="s">
        <v>94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 t="s">
        <v>90</v>
      </c>
      <c r="M43" s="15"/>
      <c r="N43" s="15"/>
      <c r="O43" s="15" t="s">
        <v>95</v>
      </c>
      <c r="P43" s="15"/>
      <c r="Q43" s="15"/>
      <c r="R43" s="23" t="s">
        <v>96</v>
      </c>
      <c r="S43" s="23"/>
      <c r="T43" s="17">
        <f>129606.8</f>
        <v>129606.8</v>
      </c>
      <c r="U43" s="17"/>
      <c r="V43" s="17"/>
      <c r="W43" s="17">
        <f>129606.8</f>
        <v>129606.8</v>
      </c>
      <c r="X43" s="17"/>
      <c r="Y43" s="17"/>
      <c r="Z43" s="17"/>
      <c r="AA43" s="17"/>
      <c r="AB43" s="52">
        <f>0</f>
        <v>0</v>
      </c>
      <c r="AC43" s="52"/>
    </row>
    <row r="44" spans="1:29" s="1" customFormat="1" ht="13.5" customHeight="1">
      <c r="A44" s="14" t="s">
        <v>97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 t="s">
        <v>90</v>
      </c>
      <c r="M44" s="15"/>
      <c r="N44" s="15"/>
      <c r="O44" s="15" t="s">
        <v>98</v>
      </c>
      <c r="P44" s="15"/>
      <c r="Q44" s="15"/>
      <c r="R44" s="23" t="s">
        <v>99</v>
      </c>
      <c r="S44" s="23"/>
      <c r="T44" s="17">
        <f>273393.2</f>
        <v>273393.2</v>
      </c>
      <c r="U44" s="17"/>
      <c r="V44" s="17"/>
      <c r="W44" s="17">
        <f>264690.86</f>
        <v>264690.86</v>
      </c>
      <c r="X44" s="17"/>
      <c r="Y44" s="17"/>
      <c r="Z44" s="17"/>
      <c r="AA44" s="17"/>
      <c r="AB44" s="52">
        <f>8702.34</f>
        <v>8702.34</v>
      </c>
      <c r="AC44" s="52"/>
    </row>
    <row r="45" spans="1:29" s="1" customFormat="1" ht="13.5" customHeight="1">
      <c r="A45" s="14" t="s">
        <v>91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 t="s">
        <v>90</v>
      </c>
      <c r="M45" s="15"/>
      <c r="N45" s="15"/>
      <c r="O45" s="15" t="s">
        <v>100</v>
      </c>
      <c r="P45" s="15"/>
      <c r="Q45" s="15"/>
      <c r="R45" s="23" t="s">
        <v>93</v>
      </c>
      <c r="S45" s="23"/>
      <c r="T45" s="17">
        <f>2095380.34</f>
        <v>2095380.34</v>
      </c>
      <c r="U45" s="17"/>
      <c r="V45" s="17"/>
      <c r="W45" s="17">
        <f>1714078.8</f>
        <v>1714078.8</v>
      </c>
      <c r="X45" s="17"/>
      <c r="Y45" s="17"/>
      <c r="Z45" s="17"/>
      <c r="AA45" s="17"/>
      <c r="AB45" s="52">
        <f>381301.54</f>
        <v>381301.54</v>
      </c>
      <c r="AC45" s="52"/>
    </row>
    <row r="46" spans="1:29" s="1" customFormat="1" ht="13.5" customHeight="1">
      <c r="A46" s="14" t="s">
        <v>101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 t="s">
        <v>90</v>
      </c>
      <c r="M46" s="15"/>
      <c r="N46" s="15"/>
      <c r="O46" s="15" t="s">
        <v>100</v>
      </c>
      <c r="P46" s="15"/>
      <c r="Q46" s="15"/>
      <c r="R46" s="23" t="s">
        <v>102</v>
      </c>
      <c r="S46" s="23"/>
      <c r="T46" s="17">
        <f>15000</f>
        <v>15000</v>
      </c>
      <c r="U46" s="17"/>
      <c r="V46" s="17"/>
      <c r="W46" s="17">
        <f>11630.86</f>
        <v>11630.86</v>
      </c>
      <c r="X46" s="17"/>
      <c r="Y46" s="17"/>
      <c r="Z46" s="17"/>
      <c r="AA46" s="17"/>
      <c r="AB46" s="52">
        <f>3369.14</f>
        <v>3369.14</v>
      </c>
      <c r="AC46" s="52"/>
    </row>
    <row r="47" spans="1:29" s="1" customFormat="1" ht="13.5" customHeight="1">
      <c r="A47" s="14" t="s">
        <v>94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 t="s">
        <v>90</v>
      </c>
      <c r="M47" s="15"/>
      <c r="N47" s="15"/>
      <c r="O47" s="15" t="s">
        <v>103</v>
      </c>
      <c r="P47" s="15"/>
      <c r="Q47" s="15"/>
      <c r="R47" s="23" t="s">
        <v>96</v>
      </c>
      <c r="S47" s="23"/>
      <c r="T47" s="17">
        <f>295000</f>
        <v>295000</v>
      </c>
      <c r="U47" s="17"/>
      <c r="V47" s="17"/>
      <c r="W47" s="17">
        <f>295000</f>
        <v>295000</v>
      </c>
      <c r="X47" s="17"/>
      <c r="Y47" s="17"/>
      <c r="Z47" s="17"/>
      <c r="AA47" s="17"/>
      <c r="AB47" s="52">
        <f>0</f>
        <v>0</v>
      </c>
      <c r="AC47" s="52"/>
    </row>
    <row r="48" spans="1:29" s="1" customFormat="1" ht="13.5" customHeight="1">
      <c r="A48" s="14" t="s">
        <v>104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 t="s">
        <v>90</v>
      </c>
      <c r="M48" s="15"/>
      <c r="N48" s="15"/>
      <c r="O48" s="15" t="s">
        <v>103</v>
      </c>
      <c r="P48" s="15"/>
      <c r="Q48" s="15"/>
      <c r="R48" s="23" t="s">
        <v>105</v>
      </c>
      <c r="S48" s="23"/>
      <c r="T48" s="17">
        <f>180470.08</f>
        <v>180470.08</v>
      </c>
      <c r="U48" s="17"/>
      <c r="V48" s="17"/>
      <c r="W48" s="21" t="s">
        <v>44</v>
      </c>
      <c r="X48" s="21"/>
      <c r="Y48" s="21"/>
      <c r="Z48" s="21"/>
      <c r="AA48" s="21"/>
      <c r="AB48" s="52">
        <f>180470.08</f>
        <v>180470.08</v>
      </c>
      <c r="AC48" s="52"/>
    </row>
    <row r="49" spans="1:29" s="1" customFormat="1" ht="13.5" customHeight="1">
      <c r="A49" s="14" t="s">
        <v>97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 t="s">
        <v>90</v>
      </c>
      <c r="M49" s="15"/>
      <c r="N49" s="15"/>
      <c r="O49" s="15" t="s">
        <v>106</v>
      </c>
      <c r="P49" s="15"/>
      <c r="Q49" s="15"/>
      <c r="R49" s="23" t="s">
        <v>99</v>
      </c>
      <c r="S49" s="23"/>
      <c r="T49" s="17">
        <f>592792.98</f>
        <v>592792.98</v>
      </c>
      <c r="U49" s="17"/>
      <c r="V49" s="17"/>
      <c r="W49" s="17">
        <f>446098.47</f>
        <v>446098.47</v>
      </c>
      <c r="X49" s="17"/>
      <c r="Y49" s="17"/>
      <c r="Z49" s="17"/>
      <c r="AA49" s="17"/>
      <c r="AB49" s="52">
        <f>146694.51</f>
        <v>146694.51</v>
      </c>
      <c r="AC49" s="52"/>
    </row>
    <row r="50" spans="1:29" s="1" customFormat="1" ht="13.5" customHeight="1">
      <c r="A50" s="14" t="s">
        <v>91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 t="s">
        <v>90</v>
      </c>
      <c r="M50" s="15"/>
      <c r="N50" s="15"/>
      <c r="O50" s="15" t="s">
        <v>107</v>
      </c>
      <c r="P50" s="15"/>
      <c r="Q50" s="15"/>
      <c r="R50" s="23" t="s">
        <v>93</v>
      </c>
      <c r="S50" s="23"/>
      <c r="T50" s="17">
        <f>824619.66</f>
        <v>824619.66</v>
      </c>
      <c r="U50" s="17"/>
      <c r="V50" s="17"/>
      <c r="W50" s="17">
        <f>824619.66</f>
        <v>824619.66</v>
      </c>
      <c r="X50" s="17"/>
      <c r="Y50" s="17"/>
      <c r="Z50" s="17"/>
      <c r="AA50" s="17"/>
      <c r="AB50" s="52">
        <f>0</f>
        <v>0</v>
      </c>
      <c r="AC50" s="52"/>
    </row>
    <row r="51" spans="1:29" s="1" customFormat="1" ht="13.5" customHeight="1">
      <c r="A51" s="14" t="s">
        <v>94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90</v>
      </c>
      <c r="M51" s="15"/>
      <c r="N51" s="15"/>
      <c r="O51" s="15" t="s">
        <v>108</v>
      </c>
      <c r="P51" s="15"/>
      <c r="Q51" s="15"/>
      <c r="R51" s="23" t="s">
        <v>96</v>
      </c>
      <c r="S51" s="23"/>
      <c r="T51" s="17">
        <f>65000</f>
        <v>65000</v>
      </c>
      <c r="U51" s="17"/>
      <c r="V51" s="17"/>
      <c r="W51" s="17">
        <f>65000</f>
        <v>65000</v>
      </c>
      <c r="X51" s="17"/>
      <c r="Y51" s="17"/>
      <c r="Z51" s="17"/>
      <c r="AA51" s="17"/>
      <c r="AB51" s="52">
        <f>0</f>
        <v>0</v>
      </c>
      <c r="AC51" s="52"/>
    </row>
    <row r="52" spans="1:29" s="1" customFormat="1" ht="13.5" customHeight="1">
      <c r="A52" s="14" t="s">
        <v>97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90</v>
      </c>
      <c r="M52" s="15"/>
      <c r="N52" s="15"/>
      <c r="O52" s="15" t="s">
        <v>109</v>
      </c>
      <c r="P52" s="15"/>
      <c r="Q52" s="15"/>
      <c r="R52" s="23" t="s">
        <v>99</v>
      </c>
      <c r="S52" s="23"/>
      <c r="T52" s="17">
        <f>272207.02</f>
        <v>272207.02</v>
      </c>
      <c r="U52" s="17"/>
      <c r="V52" s="17"/>
      <c r="W52" s="17">
        <f>265766.05</f>
        <v>265766.05</v>
      </c>
      <c r="X52" s="17"/>
      <c r="Y52" s="17"/>
      <c r="Z52" s="17"/>
      <c r="AA52" s="17"/>
      <c r="AB52" s="52">
        <f>6440.97</f>
        <v>6440.97</v>
      </c>
      <c r="AC52" s="52"/>
    </row>
    <row r="53" spans="1:29" s="1" customFormat="1" ht="13.5" customHeight="1">
      <c r="A53" s="14" t="s">
        <v>110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90</v>
      </c>
      <c r="M53" s="15"/>
      <c r="N53" s="15"/>
      <c r="O53" s="15" t="s">
        <v>111</v>
      </c>
      <c r="P53" s="15"/>
      <c r="Q53" s="15"/>
      <c r="R53" s="23" t="s">
        <v>90</v>
      </c>
      <c r="S53" s="23"/>
      <c r="T53" s="17">
        <f>91000</f>
        <v>91000</v>
      </c>
      <c r="U53" s="17"/>
      <c r="V53" s="17"/>
      <c r="W53" s="21" t="s">
        <v>44</v>
      </c>
      <c r="X53" s="21"/>
      <c r="Y53" s="21"/>
      <c r="Z53" s="21"/>
      <c r="AA53" s="21"/>
      <c r="AB53" s="52">
        <f>91000</f>
        <v>91000</v>
      </c>
      <c r="AC53" s="52"/>
    </row>
    <row r="54" spans="1:29" s="1" customFormat="1" ht="13.5" customHeight="1">
      <c r="A54" s="14" t="s">
        <v>91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90</v>
      </c>
      <c r="M54" s="15"/>
      <c r="N54" s="15"/>
      <c r="O54" s="15" t="s">
        <v>112</v>
      </c>
      <c r="P54" s="15"/>
      <c r="Q54" s="15"/>
      <c r="R54" s="23" t="s">
        <v>93</v>
      </c>
      <c r="S54" s="23"/>
      <c r="T54" s="17">
        <f>4283053.25</f>
        <v>4283053.25</v>
      </c>
      <c r="U54" s="17"/>
      <c r="V54" s="17"/>
      <c r="W54" s="17">
        <f>1792645.22</f>
        <v>1792645.22</v>
      </c>
      <c r="X54" s="17"/>
      <c r="Y54" s="17"/>
      <c r="Z54" s="17"/>
      <c r="AA54" s="17"/>
      <c r="AB54" s="52">
        <f>2490408.03</f>
        <v>2490408.03</v>
      </c>
      <c r="AC54" s="52"/>
    </row>
    <row r="55" spans="1:29" s="1" customFormat="1" ht="13.5" customHeight="1">
      <c r="A55" s="14" t="s">
        <v>101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90</v>
      </c>
      <c r="M55" s="15"/>
      <c r="N55" s="15"/>
      <c r="O55" s="15" t="s">
        <v>112</v>
      </c>
      <c r="P55" s="15"/>
      <c r="Q55" s="15"/>
      <c r="R55" s="23" t="s">
        <v>102</v>
      </c>
      <c r="S55" s="23"/>
      <c r="T55" s="17">
        <f>10000</f>
        <v>10000</v>
      </c>
      <c r="U55" s="17"/>
      <c r="V55" s="17"/>
      <c r="W55" s="21" t="s">
        <v>44</v>
      </c>
      <c r="X55" s="21"/>
      <c r="Y55" s="21"/>
      <c r="Z55" s="21"/>
      <c r="AA55" s="21"/>
      <c r="AB55" s="52">
        <f>10000</f>
        <v>10000</v>
      </c>
      <c r="AC55" s="52"/>
    </row>
    <row r="56" spans="1:29" s="1" customFormat="1" ht="13.5" customHeight="1">
      <c r="A56" s="14" t="s">
        <v>94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90</v>
      </c>
      <c r="M56" s="15"/>
      <c r="N56" s="15"/>
      <c r="O56" s="15" t="s">
        <v>113</v>
      </c>
      <c r="P56" s="15"/>
      <c r="Q56" s="15"/>
      <c r="R56" s="23" t="s">
        <v>96</v>
      </c>
      <c r="S56" s="23"/>
      <c r="T56" s="17">
        <f>15000</f>
        <v>15000</v>
      </c>
      <c r="U56" s="17"/>
      <c r="V56" s="17"/>
      <c r="W56" s="17">
        <f>15000</f>
        <v>15000</v>
      </c>
      <c r="X56" s="17"/>
      <c r="Y56" s="17"/>
      <c r="Z56" s="17"/>
      <c r="AA56" s="17"/>
      <c r="AB56" s="52">
        <f>0</f>
        <v>0</v>
      </c>
      <c r="AC56" s="52"/>
    </row>
    <row r="57" spans="1:29" s="1" customFormat="1" ht="13.5" customHeight="1">
      <c r="A57" s="14" t="s">
        <v>104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90</v>
      </c>
      <c r="M57" s="15"/>
      <c r="N57" s="15"/>
      <c r="O57" s="15" t="s">
        <v>113</v>
      </c>
      <c r="P57" s="15"/>
      <c r="Q57" s="15"/>
      <c r="R57" s="23" t="s">
        <v>105</v>
      </c>
      <c r="S57" s="23"/>
      <c r="T57" s="17">
        <f>45000</f>
        <v>45000</v>
      </c>
      <c r="U57" s="17"/>
      <c r="V57" s="17"/>
      <c r="W57" s="17">
        <f>45000</f>
        <v>45000</v>
      </c>
      <c r="X57" s="17"/>
      <c r="Y57" s="17"/>
      <c r="Z57" s="17"/>
      <c r="AA57" s="17"/>
      <c r="AB57" s="52">
        <f>0</f>
        <v>0</v>
      </c>
      <c r="AC57" s="52"/>
    </row>
    <row r="58" spans="1:29" s="1" customFormat="1" ht="13.5" customHeight="1">
      <c r="A58" s="14" t="s">
        <v>97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90</v>
      </c>
      <c r="M58" s="15"/>
      <c r="N58" s="15"/>
      <c r="O58" s="15" t="s">
        <v>114</v>
      </c>
      <c r="P58" s="15"/>
      <c r="Q58" s="15"/>
      <c r="R58" s="23" t="s">
        <v>99</v>
      </c>
      <c r="S58" s="23"/>
      <c r="T58" s="17">
        <f>1257090.8</f>
        <v>1257090.8</v>
      </c>
      <c r="U58" s="17"/>
      <c r="V58" s="17"/>
      <c r="W58" s="17">
        <v>505519.25</v>
      </c>
      <c r="X58" s="17"/>
      <c r="Y58" s="17"/>
      <c r="Z58" s="17"/>
      <c r="AA58" s="17"/>
      <c r="AB58" s="52">
        <f>T58-W58</f>
        <v>751571.55</v>
      </c>
      <c r="AC58" s="52"/>
    </row>
    <row r="59" spans="1:29" s="1" customFormat="1" ht="13.5" customHeight="1">
      <c r="A59" s="14" t="s">
        <v>115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90</v>
      </c>
      <c r="M59" s="15"/>
      <c r="N59" s="15"/>
      <c r="O59" s="15" t="s">
        <v>116</v>
      </c>
      <c r="P59" s="15"/>
      <c r="Q59" s="15"/>
      <c r="R59" s="23" t="s">
        <v>117</v>
      </c>
      <c r="S59" s="23"/>
      <c r="T59" s="17">
        <f>85139.32</f>
        <v>85139.32</v>
      </c>
      <c r="U59" s="17"/>
      <c r="V59" s="17"/>
      <c r="W59" s="17">
        <f>59160.59</f>
        <v>59160.59</v>
      </c>
      <c r="X59" s="17"/>
      <c r="Y59" s="17"/>
      <c r="Z59" s="17"/>
      <c r="AA59" s="17"/>
      <c r="AB59" s="52">
        <f>25978.73</f>
        <v>25978.73</v>
      </c>
      <c r="AC59" s="52"/>
    </row>
    <row r="60" spans="1:29" s="1" customFormat="1" ht="13.5" customHeight="1">
      <c r="A60" s="14" t="s">
        <v>118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90</v>
      </c>
      <c r="M60" s="15"/>
      <c r="N60" s="15"/>
      <c r="O60" s="15" t="s">
        <v>116</v>
      </c>
      <c r="P60" s="15"/>
      <c r="Q60" s="15"/>
      <c r="R60" s="23" t="s">
        <v>119</v>
      </c>
      <c r="S60" s="23"/>
      <c r="T60" s="17">
        <f>99000</f>
        <v>99000</v>
      </c>
      <c r="U60" s="17"/>
      <c r="V60" s="17"/>
      <c r="W60" s="17">
        <f>37676.27</f>
        <v>37676.27</v>
      </c>
      <c r="X60" s="17"/>
      <c r="Y60" s="17"/>
      <c r="Z60" s="17"/>
      <c r="AA60" s="17"/>
      <c r="AB60" s="52">
        <f>61323.73</f>
        <v>61323.73</v>
      </c>
      <c r="AC60" s="52"/>
    </row>
    <row r="61" spans="1:29" s="1" customFormat="1" ht="13.5" customHeight="1">
      <c r="A61" s="14" t="s">
        <v>120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90</v>
      </c>
      <c r="M61" s="15"/>
      <c r="N61" s="15"/>
      <c r="O61" s="15" t="s">
        <v>116</v>
      </c>
      <c r="P61" s="15"/>
      <c r="Q61" s="15"/>
      <c r="R61" s="23" t="s">
        <v>121</v>
      </c>
      <c r="S61" s="23"/>
      <c r="T61" s="17">
        <f>162660.68</f>
        <v>162660.68</v>
      </c>
      <c r="U61" s="17"/>
      <c r="V61" s="17"/>
      <c r="W61" s="17">
        <f>50444</f>
        <v>50444</v>
      </c>
      <c r="X61" s="17"/>
      <c r="Y61" s="17"/>
      <c r="Z61" s="17"/>
      <c r="AA61" s="17"/>
      <c r="AB61" s="52">
        <f>112216.68</f>
        <v>112216.68</v>
      </c>
      <c r="AC61" s="52"/>
    </row>
    <row r="62" spans="1:29" s="1" customFormat="1" ht="13.5" customHeight="1">
      <c r="A62" s="14" t="s">
        <v>115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90</v>
      </c>
      <c r="M62" s="15"/>
      <c r="N62" s="15"/>
      <c r="O62" s="15" t="s">
        <v>122</v>
      </c>
      <c r="P62" s="15"/>
      <c r="Q62" s="15"/>
      <c r="R62" s="23" t="s">
        <v>117</v>
      </c>
      <c r="S62" s="23"/>
      <c r="T62" s="17">
        <f>15300</f>
        <v>15300</v>
      </c>
      <c r="U62" s="17"/>
      <c r="V62" s="17"/>
      <c r="W62" s="17">
        <f>15000</f>
        <v>15000</v>
      </c>
      <c r="X62" s="17"/>
      <c r="Y62" s="17"/>
      <c r="Z62" s="17"/>
      <c r="AA62" s="17"/>
      <c r="AB62" s="52">
        <f>300</f>
        <v>300</v>
      </c>
      <c r="AC62" s="52"/>
    </row>
    <row r="63" spans="1:29" s="1" customFormat="1" ht="13.5" customHeight="1">
      <c r="A63" s="14" t="s">
        <v>123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90</v>
      </c>
      <c r="M63" s="15"/>
      <c r="N63" s="15"/>
      <c r="O63" s="15" t="s">
        <v>122</v>
      </c>
      <c r="P63" s="15"/>
      <c r="Q63" s="15"/>
      <c r="R63" s="23" t="s">
        <v>124</v>
      </c>
      <c r="S63" s="23"/>
      <c r="T63" s="17">
        <f>58411</f>
        <v>58411</v>
      </c>
      <c r="U63" s="17"/>
      <c r="V63" s="17"/>
      <c r="W63" s="17">
        <f>58411</f>
        <v>58411</v>
      </c>
      <c r="X63" s="17"/>
      <c r="Y63" s="17"/>
      <c r="Z63" s="17"/>
      <c r="AA63" s="17"/>
      <c r="AB63" s="52">
        <f>0</f>
        <v>0</v>
      </c>
      <c r="AC63" s="52"/>
    </row>
    <row r="64" spans="1:29" s="1" customFormat="1" ht="13.5" customHeight="1">
      <c r="A64" s="14" t="s">
        <v>125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90</v>
      </c>
      <c r="M64" s="15"/>
      <c r="N64" s="15"/>
      <c r="O64" s="15" t="s">
        <v>122</v>
      </c>
      <c r="P64" s="15"/>
      <c r="Q64" s="15"/>
      <c r="R64" s="23" t="s">
        <v>126</v>
      </c>
      <c r="S64" s="23"/>
      <c r="T64" s="17">
        <f>884692.24</f>
        <v>884692.24</v>
      </c>
      <c r="U64" s="17"/>
      <c r="V64" s="17"/>
      <c r="W64" s="17">
        <f>253876.53</f>
        <v>253876.53</v>
      </c>
      <c r="X64" s="17"/>
      <c r="Y64" s="17"/>
      <c r="Z64" s="17"/>
      <c r="AA64" s="17"/>
      <c r="AB64" s="52">
        <f>630815.71</f>
        <v>630815.71</v>
      </c>
      <c r="AC64" s="52"/>
    </row>
    <row r="65" spans="1:29" s="1" customFormat="1" ht="13.5" customHeight="1">
      <c r="A65" s="14" t="s">
        <v>118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90</v>
      </c>
      <c r="M65" s="15"/>
      <c r="N65" s="15"/>
      <c r="O65" s="15" t="s">
        <v>122</v>
      </c>
      <c r="P65" s="15"/>
      <c r="Q65" s="15"/>
      <c r="R65" s="23" t="s">
        <v>119</v>
      </c>
      <c r="S65" s="23"/>
      <c r="T65" s="17">
        <f>203136.11</f>
        <v>203136.11</v>
      </c>
      <c r="U65" s="17"/>
      <c r="V65" s="17"/>
      <c r="W65" s="17">
        <f>51266.83</f>
        <v>51266.83</v>
      </c>
      <c r="X65" s="17"/>
      <c r="Y65" s="17"/>
      <c r="Z65" s="17"/>
      <c r="AA65" s="17"/>
      <c r="AB65" s="52">
        <f>151869.28</f>
        <v>151869.28</v>
      </c>
      <c r="AC65" s="52"/>
    </row>
    <row r="66" spans="1:29" s="1" customFormat="1" ht="13.5" customHeight="1">
      <c r="A66" s="14" t="s">
        <v>120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90</v>
      </c>
      <c r="M66" s="15"/>
      <c r="N66" s="15"/>
      <c r="O66" s="15" t="s">
        <v>122</v>
      </c>
      <c r="P66" s="15"/>
      <c r="Q66" s="15"/>
      <c r="R66" s="23" t="s">
        <v>121</v>
      </c>
      <c r="S66" s="23"/>
      <c r="T66" s="17">
        <f>29960</f>
        <v>29960</v>
      </c>
      <c r="U66" s="17"/>
      <c r="V66" s="17"/>
      <c r="W66" s="17">
        <f>7224</f>
        <v>7224</v>
      </c>
      <c r="X66" s="17"/>
      <c r="Y66" s="17"/>
      <c r="Z66" s="17"/>
      <c r="AA66" s="17"/>
      <c r="AB66" s="52">
        <f>22736</f>
        <v>22736</v>
      </c>
      <c r="AC66" s="52"/>
    </row>
    <row r="67" spans="1:29" s="1" customFormat="1" ht="13.5" customHeight="1">
      <c r="A67" s="14" t="s">
        <v>127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90</v>
      </c>
      <c r="M67" s="15"/>
      <c r="N67" s="15"/>
      <c r="O67" s="15" t="s">
        <v>122</v>
      </c>
      <c r="P67" s="15"/>
      <c r="Q67" s="15"/>
      <c r="R67" s="23" t="s">
        <v>128</v>
      </c>
      <c r="S67" s="23"/>
      <c r="T67" s="17">
        <f>38684</f>
        <v>38684</v>
      </c>
      <c r="U67" s="17"/>
      <c r="V67" s="17"/>
      <c r="W67" s="17">
        <f>10831.59</f>
        <v>10831.59</v>
      </c>
      <c r="X67" s="17"/>
      <c r="Y67" s="17"/>
      <c r="Z67" s="17"/>
      <c r="AA67" s="17"/>
      <c r="AB67" s="52">
        <f>27852.41</f>
        <v>27852.41</v>
      </c>
      <c r="AC67" s="52"/>
    </row>
    <row r="68" spans="1:29" s="1" customFormat="1" ht="13.5" customHeight="1">
      <c r="A68" s="14" t="s">
        <v>129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90</v>
      </c>
      <c r="M68" s="15"/>
      <c r="N68" s="15"/>
      <c r="O68" s="15" t="s">
        <v>122</v>
      </c>
      <c r="P68" s="15"/>
      <c r="Q68" s="15"/>
      <c r="R68" s="23" t="s">
        <v>130</v>
      </c>
      <c r="S68" s="23"/>
      <c r="T68" s="17">
        <f>305499</f>
        <v>305499</v>
      </c>
      <c r="U68" s="17"/>
      <c r="V68" s="17"/>
      <c r="W68" s="17">
        <f>304173</f>
        <v>304173</v>
      </c>
      <c r="X68" s="17"/>
      <c r="Y68" s="17"/>
      <c r="Z68" s="17"/>
      <c r="AA68" s="17"/>
      <c r="AB68" s="52">
        <f>1326</f>
        <v>1326</v>
      </c>
      <c r="AC68" s="52"/>
    </row>
    <row r="69" spans="1:29" s="1" customFormat="1" ht="13.5" customHeight="1">
      <c r="A69" s="14" t="s">
        <v>131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90</v>
      </c>
      <c r="M69" s="15"/>
      <c r="N69" s="15"/>
      <c r="O69" s="15" t="s">
        <v>122</v>
      </c>
      <c r="P69" s="15"/>
      <c r="Q69" s="15"/>
      <c r="R69" s="23" t="s">
        <v>132</v>
      </c>
      <c r="S69" s="23"/>
      <c r="T69" s="17">
        <f>428963.14</f>
        <v>428963.14</v>
      </c>
      <c r="U69" s="17"/>
      <c r="V69" s="17"/>
      <c r="W69" s="17">
        <f>420069.01</f>
        <v>420069.01</v>
      </c>
      <c r="X69" s="17"/>
      <c r="Y69" s="17"/>
      <c r="Z69" s="17"/>
      <c r="AA69" s="17"/>
      <c r="AB69" s="52">
        <f>8894.13</f>
        <v>8894.13</v>
      </c>
      <c r="AC69" s="52"/>
    </row>
    <row r="70" spans="1:29" s="1" customFormat="1" ht="13.5" customHeight="1">
      <c r="A70" s="14" t="s">
        <v>133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 t="s">
        <v>90</v>
      </c>
      <c r="M70" s="15"/>
      <c r="N70" s="15"/>
      <c r="O70" s="15" t="s">
        <v>122</v>
      </c>
      <c r="P70" s="15"/>
      <c r="Q70" s="15"/>
      <c r="R70" s="23" t="s">
        <v>134</v>
      </c>
      <c r="S70" s="23"/>
      <c r="T70" s="17">
        <f>30000</f>
        <v>30000</v>
      </c>
      <c r="U70" s="17"/>
      <c r="V70" s="17"/>
      <c r="W70" s="17">
        <f>26070.3</f>
        <v>26070.3</v>
      </c>
      <c r="X70" s="17"/>
      <c r="Y70" s="17"/>
      <c r="Z70" s="17"/>
      <c r="AA70" s="17"/>
      <c r="AB70" s="52">
        <f>3929.7</f>
        <v>3929.7</v>
      </c>
      <c r="AC70" s="52"/>
    </row>
    <row r="71" spans="1:29" s="1" customFormat="1" ht="13.5" customHeight="1">
      <c r="A71" s="14" t="s">
        <v>135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 t="s">
        <v>90</v>
      </c>
      <c r="M71" s="15"/>
      <c r="N71" s="15"/>
      <c r="O71" s="15" t="s">
        <v>122</v>
      </c>
      <c r="P71" s="15"/>
      <c r="Q71" s="15"/>
      <c r="R71" s="23" t="s">
        <v>136</v>
      </c>
      <c r="S71" s="23"/>
      <c r="T71" s="17">
        <f>268439.94</f>
        <v>268439.94</v>
      </c>
      <c r="U71" s="17"/>
      <c r="V71" s="17"/>
      <c r="W71" s="17">
        <f>40438.08</f>
        <v>40438.08</v>
      </c>
      <c r="X71" s="17"/>
      <c r="Y71" s="17"/>
      <c r="Z71" s="17"/>
      <c r="AA71" s="17"/>
      <c r="AB71" s="52">
        <f>228001.86</f>
        <v>228001.86</v>
      </c>
      <c r="AC71" s="52"/>
    </row>
    <row r="72" spans="1:29" s="1" customFormat="1" ht="24" customHeight="1">
      <c r="A72" s="14" t="s">
        <v>137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 t="s">
        <v>90</v>
      </c>
      <c r="M72" s="15"/>
      <c r="N72" s="15"/>
      <c r="O72" s="15" t="s">
        <v>122</v>
      </c>
      <c r="P72" s="15"/>
      <c r="Q72" s="15"/>
      <c r="R72" s="23" t="s">
        <v>138</v>
      </c>
      <c r="S72" s="23"/>
      <c r="T72" s="17">
        <f>6600</f>
        <v>6600</v>
      </c>
      <c r="U72" s="17"/>
      <c r="V72" s="17"/>
      <c r="W72" s="17">
        <f>6600</f>
        <v>6600</v>
      </c>
      <c r="X72" s="17"/>
      <c r="Y72" s="17"/>
      <c r="Z72" s="17"/>
      <c r="AA72" s="17"/>
      <c r="AB72" s="52">
        <f>0</f>
        <v>0</v>
      </c>
      <c r="AC72" s="52"/>
    </row>
    <row r="73" spans="1:29" s="1" customFormat="1" ht="13.5" customHeight="1">
      <c r="A73" s="14" t="s">
        <v>139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 t="s">
        <v>90</v>
      </c>
      <c r="M73" s="15"/>
      <c r="N73" s="15"/>
      <c r="O73" s="15" t="s">
        <v>140</v>
      </c>
      <c r="P73" s="15"/>
      <c r="Q73" s="15"/>
      <c r="R73" s="23" t="s">
        <v>141</v>
      </c>
      <c r="S73" s="23"/>
      <c r="T73" s="17">
        <f>60700</f>
        <v>60700</v>
      </c>
      <c r="U73" s="17"/>
      <c r="V73" s="17"/>
      <c r="W73" s="17">
        <f>6560</f>
        <v>6560</v>
      </c>
      <c r="X73" s="17"/>
      <c r="Y73" s="17"/>
      <c r="Z73" s="17"/>
      <c r="AA73" s="17"/>
      <c r="AB73" s="52">
        <f>54140</f>
        <v>54140</v>
      </c>
      <c r="AC73" s="52"/>
    </row>
    <row r="74" spans="1:29" s="1" customFormat="1" ht="13.5" customHeight="1">
      <c r="A74" s="14" t="s">
        <v>129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90</v>
      </c>
      <c r="M74" s="15"/>
      <c r="N74" s="15"/>
      <c r="O74" s="15" t="s">
        <v>142</v>
      </c>
      <c r="P74" s="15"/>
      <c r="Q74" s="15"/>
      <c r="R74" s="23" t="s">
        <v>130</v>
      </c>
      <c r="S74" s="23"/>
      <c r="T74" s="17">
        <f>35000</f>
        <v>35000</v>
      </c>
      <c r="U74" s="17"/>
      <c r="V74" s="17"/>
      <c r="W74" s="17">
        <f>26570</f>
        <v>26570</v>
      </c>
      <c r="X74" s="17"/>
      <c r="Y74" s="17"/>
      <c r="Z74" s="17"/>
      <c r="AA74" s="17"/>
      <c r="AB74" s="52">
        <f>8430</f>
        <v>8430</v>
      </c>
      <c r="AC74" s="52"/>
    </row>
    <row r="75" spans="1:29" s="1" customFormat="1" ht="13.5" customHeight="1">
      <c r="A75" s="14" t="s">
        <v>135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 t="s">
        <v>90</v>
      </c>
      <c r="M75" s="15"/>
      <c r="N75" s="15"/>
      <c r="O75" s="15" t="s">
        <v>142</v>
      </c>
      <c r="P75" s="15"/>
      <c r="Q75" s="15"/>
      <c r="R75" s="23" t="s">
        <v>136</v>
      </c>
      <c r="S75" s="23"/>
      <c r="T75" s="17">
        <f>15000</f>
        <v>15000</v>
      </c>
      <c r="U75" s="17"/>
      <c r="V75" s="17"/>
      <c r="W75" s="17">
        <f>11480</f>
        <v>11480</v>
      </c>
      <c r="X75" s="17"/>
      <c r="Y75" s="17"/>
      <c r="Z75" s="17"/>
      <c r="AA75" s="17"/>
      <c r="AB75" s="52">
        <f>3520</f>
        <v>3520</v>
      </c>
      <c r="AC75" s="52"/>
    </row>
    <row r="76" spans="1:29" s="1" customFormat="1" ht="13.5" customHeight="1">
      <c r="A76" s="14" t="s">
        <v>91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 t="s">
        <v>90</v>
      </c>
      <c r="M76" s="15"/>
      <c r="N76" s="15"/>
      <c r="O76" s="15" t="s">
        <v>143</v>
      </c>
      <c r="P76" s="15"/>
      <c r="Q76" s="15"/>
      <c r="R76" s="23" t="s">
        <v>93</v>
      </c>
      <c r="S76" s="23"/>
      <c r="T76" s="17">
        <f>1377546.35</f>
        <v>1377546.35</v>
      </c>
      <c r="U76" s="17"/>
      <c r="V76" s="17"/>
      <c r="W76" s="17">
        <f>1377546.35</f>
        <v>1377546.35</v>
      </c>
      <c r="X76" s="17"/>
      <c r="Y76" s="17"/>
      <c r="Z76" s="17"/>
      <c r="AA76" s="17"/>
      <c r="AB76" s="52">
        <f>0</f>
        <v>0</v>
      </c>
      <c r="AC76" s="52"/>
    </row>
    <row r="77" spans="1:29" s="1" customFormat="1" ht="13.5" customHeight="1">
      <c r="A77" s="14" t="s">
        <v>97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90</v>
      </c>
      <c r="M77" s="15"/>
      <c r="N77" s="15"/>
      <c r="O77" s="15" t="s">
        <v>144</v>
      </c>
      <c r="P77" s="15"/>
      <c r="Q77" s="15"/>
      <c r="R77" s="23" t="s">
        <v>99</v>
      </c>
      <c r="S77" s="23"/>
      <c r="T77" s="17">
        <f>400909.2</f>
        <v>400909.2</v>
      </c>
      <c r="U77" s="17"/>
      <c r="V77" s="17"/>
      <c r="W77" s="17">
        <v>400909.2</v>
      </c>
      <c r="X77" s="17"/>
      <c r="Y77" s="17"/>
      <c r="Z77" s="17"/>
      <c r="AA77" s="17"/>
      <c r="AB77" s="52">
        <f>T77-W77</f>
        <v>0</v>
      </c>
      <c r="AC77" s="53"/>
    </row>
    <row r="78" spans="1:29" s="1" customFormat="1" ht="13.5" customHeight="1">
      <c r="A78" s="14" t="s">
        <v>115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90</v>
      </c>
      <c r="M78" s="15"/>
      <c r="N78" s="15"/>
      <c r="O78" s="15" t="s">
        <v>145</v>
      </c>
      <c r="P78" s="15"/>
      <c r="Q78" s="15"/>
      <c r="R78" s="23" t="s">
        <v>117</v>
      </c>
      <c r="S78" s="23"/>
      <c r="T78" s="17">
        <f>1200</f>
        <v>1200</v>
      </c>
      <c r="U78" s="17"/>
      <c r="V78" s="17"/>
      <c r="W78" s="17">
        <f>1200</f>
        <v>1200</v>
      </c>
      <c r="X78" s="17"/>
      <c r="Y78" s="17"/>
      <c r="Z78" s="17"/>
      <c r="AA78" s="17"/>
      <c r="AB78" s="52">
        <f aca="true" t="shared" si="0" ref="AB78:AB86">0</f>
        <v>0</v>
      </c>
      <c r="AC78" s="52"/>
    </row>
    <row r="79" spans="1:29" s="1" customFormat="1" ht="13.5" customHeight="1">
      <c r="A79" s="14" t="s">
        <v>120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90</v>
      </c>
      <c r="M79" s="15"/>
      <c r="N79" s="15"/>
      <c r="O79" s="15" t="s">
        <v>145</v>
      </c>
      <c r="P79" s="15"/>
      <c r="Q79" s="15"/>
      <c r="R79" s="23" t="s">
        <v>121</v>
      </c>
      <c r="S79" s="23"/>
      <c r="T79" s="17">
        <f>43018.4</f>
        <v>43018.4</v>
      </c>
      <c r="U79" s="17"/>
      <c r="V79" s="17"/>
      <c r="W79" s="17">
        <f>43018.4</f>
        <v>43018.4</v>
      </c>
      <c r="X79" s="17"/>
      <c r="Y79" s="17"/>
      <c r="Z79" s="17"/>
      <c r="AA79" s="17"/>
      <c r="AB79" s="52">
        <f t="shared" si="0"/>
        <v>0</v>
      </c>
      <c r="AC79" s="52"/>
    </row>
    <row r="80" spans="1:29" s="1" customFormat="1" ht="13.5" customHeight="1">
      <c r="A80" s="14" t="s">
        <v>125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90</v>
      </c>
      <c r="M80" s="15"/>
      <c r="N80" s="15"/>
      <c r="O80" s="15" t="s">
        <v>146</v>
      </c>
      <c r="P80" s="15"/>
      <c r="Q80" s="15"/>
      <c r="R80" s="23" t="s">
        <v>126</v>
      </c>
      <c r="S80" s="23"/>
      <c r="T80" s="17">
        <f>86973.62</f>
        <v>86973.62</v>
      </c>
      <c r="U80" s="17"/>
      <c r="V80" s="17"/>
      <c r="W80" s="17">
        <f>86973.62</f>
        <v>86973.62</v>
      </c>
      <c r="X80" s="17"/>
      <c r="Y80" s="17"/>
      <c r="Z80" s="17"/>
      <c r="AA80" s="17"/>
      <c r="AB80" s="52">
        <f t="shared" si="0"/>
        <v>0</v>
      </c>
      <c r="AC80" s="52"/>
    </row>
    <row r="81" spans="1:29" s="1" customFormat="1" ht="13.5" customHeight="1">
      <c r="A81" s="14" t="s">
        <v>118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 t="s">
        <v>90</v>
      </c>
      <c r="M81" s="15"/>
      <c r="N81" s="15"/>
      <c r="O81" s="15" t="s">
        <v>146</v>
      </c>
      <c r="P81" s="15"/>
      <c r="Q81" s="15"/>
      <c r="R81" s="23" t="s">
        <v>119</v>
      </c>
      <c r="S81" s="23"/>
      <c r="T81" s="17">
        <f>16863.89</f>
        <v>16863.89</v>
      </c>
      <c r="U81" s="17"/>
      <c r="V81" s="17"/>
      <c r="W81" s="17">
        <f>16863.89</f>
        <v>16863.89</v>
      </c>
      <c r="X81" s="17"/>
      <c r="Y81" s="17"/>
      <c r="Z81" s="17"/>
      <c r="AA81" s="17"/>
      <c r="AB81" s="52">
        <f t="shared" si="0"/>
        <v>0</v>
      </c>
      <c r="AC81" s="52"/>
    </row>
    <row r="82" spans="1:29" s="1" customFormat="1" ht="13.5" customHeight="1">
      <c r="A82" s="14" t="s">
        <v>120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 t="s">
        <v>90</v>
      </c>
      <c r="M82" s="15"/>
      <c r="N82" s="15"/>
      <c r="O82" s="15" t="s">
        <v>146</v>
      </c>
      <c r="P82" s="15"/>
      <c r="Q82" s="15"/>
      <c r="R82" s="23" t="s">
        <v>121</v>
      </c>
      <c r="S82" s="23"/>
      <c r="T82" s="17">
        <f>3500</f>
        <v>3500</v>
      </c>
      <c r="U82" s="17"/>
      <c r="V82" s="17"/>
      <c r="W82" s="17">
        <f>3500</f>
        <v>3500</v>
      </c>
      <c r="X82" s="17"/>
      <c r="Y82" s="17"/>
      <c r="Z82" s="17"/>
      <c r="AA82" s="17"/>
      <c r="AB82" s="52">
        <f t="shared" si="0"/>
        <v>0</v>
      </c>
      <c r="AC82" s="52"/>
    </row>
    <row r="83" spans="1:29" s="1" customFormat="1" ht="13.5" customHeight="1">
      <c r="A83" s="14" t="s">
        <v>129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 t="s">
        <v>90</v>
      </c>
      <c r="M83" s="15"/>
      <c r="N83" s="15"/>
      <c r="O83" s="15" t="s">
        <v>146</v>
      </c>
      <c r="P83" s="15"/>
      <c r="Q83" s="15"/>
      <c r="R83" s="23" t="s">
        <v>130</v>
      </c>
      <c r="S83" s="23"/>
      <c r="T83" s="17">
        <f>30199</f>
        <v>30199</v>
      </c>
      <c r="U83" s="17"/>
      <c r="V83" s="17"/>
      <c r="W83" s="17">
        <f>30199</f>
        <v>30199</v>
      </c>
      <c r="X83" s="17"/>
      <c r="Y83" s="17"/>
      <c r="Z83" s="17"/>
      <c r="AA83" s="17"/>
      <c r="AB83" s="52">
        <f t="shared" si="0"/>
        <v>0</v>
      </c>
      <c r="AC83" s="52"/>
    </row>
    <row r="84" spans="1:29" s="1" customFormat="1" ht="13.5" customHeight="1">
      <c r="A84" s="14" t="s">
        <v>135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 t="s">
        <v>90</v>
      </c>
      <c r="M84" s="15"/>
      <c r="N84" s="15"/>
      <c r="O84" s="15" t="s">
        <v>146</v>
      </c>
      <c r="P84" s="15"/>
      <c r="Q84" s="15"/>
      <c r="R84" s="23" t="s">
        <v>136</v>
      </c>
      <c r="S84" s="23"/>
      <c r="T84" s="17">
        <f>41460.06</f>
        <v>41460.06</v>
      </c>
      <c r="U84" s="17"/>
      <c r="V84" s="17"/>
      <c r="W84" s="17">
        <f>41460.06</f>
        <v>41460.06</v>
      </c>
      <c r="X84" s="17"/>
      <c r="Y84" s="17"/>
      <c r="Z84" s="17"/>
      <c r="AA84" s="17"/>
      <c r="AB84" s="52">
        <f t="shared" si="0"/>
        <v>0</v>
      </c>
      <c r="AC84" s="52"/>
    </row>
    <row r="85" spans="1:29" s="1" customFormat="1" ht="13.5" customHeight="1">
      <c r="A85" s="14" t="s">
        <v>139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 t="s">
        <v>90</v>
      </c>
      <c r="M85" s="15"/>
      <c r="N85" s="15"/>
      <c r="O85" s="15" t="s">
        <v>147</v>
      </c>
      <c r="P85" s="15"/>
      <c r="Q85" s="15"/>
      <c r="R85" s="23" t="s">
        <v>141</v>
      </c>
      <c r="S85" s="23"/>
      <c r="T85" s="17">
        <f>1300</f>
        <v>1300</v>
      </c>
      <c r="U85" s="17"/>
      <c r="V85" s="17"/>
      <c r="W85" s="17">
        <f>1300</f>
        <v>1300</v>
      </c>
      <c r="X85" s="17"/>
      <c r="Y85" s="17"/>
      <c r="Z85" s="17"/>
      <c r="AA85" s="17"/>
      <c r="AB85" s="52">
        <f t="shared" si="0"/>
        <v>0</v>
      </c>
      <c r="AC85" s="52"/>
    </row>
    <row r="86" spans="1:29" s="1" customFormat="1" ht="13.5" customHeight="1">
      <c r="A86" s="14" t="s">
        <v>148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 t="s">
        <v>90</v>
      </c>
      <c r="M86" s="15"/>
      <c r="N86" s="15"/>
      <c r="O86" s="15" t="s">
        <v>149</v>
      </c>
      <c r="P86" s="15"/>
      <c r="Q86" s="15"/>
      <c r="R86" s="23" t="s">
        <v>150</v>
      </c>
      <c r="S86" s="23"/>
      <c r="T86" s="17">
        <f>15000</f>
        <v>15000</v>
      </c>
      <c r="U86" s="17"/>
      <c r="V86" s="17"/>
      <c r="W86" s="17">
        <f>15000</f>
        <v>15000</v>
      </c>
      <c r="X86" s="17"/>
      <c r="Y86" s="17"/>
      <c r="Z86" s="17"/>
      <c r="AA86" s="17"/>
      <c r="AB86" s="52">
        <f t="shared" si="0"/>
        <v>0</v>
      </c>
      <c r="AC86" s="52"/>
    </row>
    <row r="87" spans="1:29" s="1" customFormat="1" ht="13.5" customHeight="1">
      <c r="A87" s="14" t="s">
        <v>91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 t="s">
        <v>90</v>
      </c>
      <c r="M87" s="15"/>
      <c r="N87" s="15"/>
      <c r="O87" s="15" t="s">
        <v>151</v>
      </c>
      <c r="P87" s="15"/>
      <c r="Q87" s="15"/>
      <c r="R87" s="23" t="s">
        <v>93</v>
      </c>
      <c r="S87" s="23"/>
      <c r="T87" s="17">
        <f>89650.06</f>
        <v>89650.06</v>
      </c>
      <c r="U87" s="17"/>
      <c r="V87" s="17"/>
      <c r="W87" s="17">
        <f>41269.63</f>
        <v>41269.63</v>
      </c>
      <c r="X87" s="17"/>
      <c r="Y87" s="17"/>
      <c r="Z87" s="17"/>
      <c r="AA87" s="17"/>
      <c r="AB87" s="52">
        <f>48380.43</f>
        <v>48380.43</v>
      </c>
      <c r="AC87" s="52"/>
    </row>
    <row r="88" spans="1:29" s="1" customFormat="1" ht="13.5" customHeight="1">
      <c r="A88" s="14" t="s">
        <v>97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 t="s">
        <v>90</v>
      </c>
      <c r="M88" s="15"/>
      <c r="N88" s="15"/>
      <c r="O88" s="15" t="s">
        <v>152</v>
      </c>
      <c r="P88" s="15"/>
      <c r="Q88" s="15"/>
      <c r="R88" s="23" t="s">
        <v>99</v>
      </c>
      <c r="S88" s="23"/>
      <c r="T88" s="17">
        <f>27074.33</f>
        <v>27074.33</v>
      </c>
      <c r="U88" s="17"/>
      <c r="V88" s="17"/>
      <c r="W88" s="17">
        <f>12463.42</f>
        <v>12463.42</v>
      </c>
      <c r="X88" s="17"/>
      <c r="Y88" s="17"/>
      <c r="Z88" s="17"/>
      <c r="AA88" s="17"/>
      <c r="AB88" s="52">
        <f>14610.91</f>
        <v>14610.91</v>
      </c>
      <c r="AC88" s="52"/>
    </row>
    <row r="89" spans="1:29" s="1" customFormat="1" ht="13.5" customHeight="1">
      <c r="A89" s="14" t="s">
        <v>91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 t="s">
        <v>90</v>
      </c>
      <c r="M89" s="15"/>
      <c r="N89" s="15"/>
      <c r="O89" s="15" t="s">
        <v>153</v>
      </c>
      <c r="P89" s="15"/>
      <c r="Q89" s="15"/>
      <c r="R89" s="23" t="s">
        <v>93</v>
      </c>
      <c r="S89" s="23"/>
      <c r="T89" s="17">
        <f>3072.2</f>
        <v>3072.2</v>
      </c>
      <c r="U89" s="17"/>
      <c r="V89" s="17"/>
      <c r="W89" s="21" t="s">
        <v>44</v>
      </c>
      <c r="X89" s="21"/>
      <c r="Y89" s="21"/>
      <c r="Z89" s="21"/>
      <c r="AA89" s="21"/>
      <c r="AB89" s="52">
        <f>3072.2</f>
        <v>3072.2</v>
      </c>
      <c r="AC89" s="52"/>
    </row>
    <row r="90" spans="1:29" s="1" customFormat="1" ht="13.5" customHeight="1">
      <c r="A90" s="14" t="s">
        <v>97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 t="s">
        <v>90</v>
      </c>
      <c r="M90" s="15"/>
      <c r="N90" s="15"/>
      <c r="O90" s="15" t="s">
        <v>154</v>
      </c>
      <c r="P90" s="15"/>
      <c r="Q90" s="15"/>
      <c r="R90" s="23" t="s">
        <v>99</v>
      </c>
      <c r="S90" s="23"/>
      <c r="T90" s="17">
        <f>927.8</f>
        <v>927.8</v>
      </c>
      <c r="U90" s="17"/>
      <c r="V90" s="17"/>
      <c r="W90" s="21" t="s">
        <v>44</v>
      </c>
      <c r="X90" s="21"/>
      <c r="Y90" s="21"/>
      <c r="Z90" s="21"/>
      <c r="AA90" s="21"/>
      <c r="AB90" s="52">
        <f>927.8</f>
        <v>927.8</v>
      </c>
      <c r="AC90" s="52"/>
    </row>
    <row r="91" spans="1:29" s="1" customFormat="1" ht="13.5" customHeight="1">
      <c r="A91" s="14" t="s">
        <v>91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 t="s">
        <v>90</v>
      </c>
      <c r="M91" s="15"/>
      <c r="N91" s="15"/>
      <c r="O91" s="15" t="s">
        <v>155</v>
      </c>
      <c r="P91" s="15"/>
      <c r="Q91" s="15"/>
      <c r="R91" s="23" t="s">
        <v>93</v>
      </c>
      <c r="S91" s="23"/>
      <c r="T91" s="17">
        <f>768.05</f>
        <v>768.05</v>
      </c>
      <c r="U91" s="17"/>
      <c r="V91" s="17"/>
      <c r="W91" s="17">
        <f>768.05</f>
        <v>768.05</v>
      </c>
      <c r="X91" s="17"/>
      <c r="Y91" s="17"/>
      <c r="Z91" s="17"/>
      <c r="AA91" s="17"/>
      <c r="AB91" s="52">
        <f>0</f>
        <v>0</v>
      </c>
      <c r="AC91" s="52"/>
    </row>
    <row r="92" spans="1:29" s="1" customFormat="1" ht="13.5" customHeight="1">
      <c r="A92" s="14" t="s">
        <v>97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 t="s">
        <v>90</v>
      </c>
      <c r="M92" s="15"/>
      <c r="N92" s="15"/>
      <c r="O92" s="15" t="s">
        <v>156</v>
      </c>
      <c r="P92" s="15"/>
      <c r="Q92" s="15"/>
      <c r="R92" s="23" t="s">
        <v>99</v>
      </c>
      <c r="S92" s="23"/>
      <c r="T92" s="17">
        <f>231.95</f>
        <v>231.95</v>
      </c>
      <c r="U92" s="17"/>
      <c r="V92" s="17"/>
      <c r="W92" s="17">
        <f>231.95</f>
        <v>231.95</v>
      </c>
      <c r="X92" s="17"/>
      <c r="Y92" s="17"/>
      <c r="Z92" s="17"/>
      <c r="AA92" s="17"/>
      <c r="AB92" s="52">
        <f>0</f>
        <v>0</v>
      </c>
      <c r="AC92" s="52"/>
    </row>
    <row r="93" spans="1:29" s="1" customFormat="1" ht="13.5" customHeight="1">
      <c r="A93" s="14" t="s">
        <v>118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 t="s">
        <v>90</v>
      </c>
      <c r="M93" s="15"/>
      <c r="N93" s="15"/>
      <c r="O93" s="15" t="s">
        <v>157</v>
      </c>
      <c r="P93" s="15"/>
      <c r="Q93" s="15"/>
      <c r="R93" s="23" t="s">
        <v>119</v>
      </c>
      <c r="S93" s="23"/>
      <c r="T93" s="17">
        <f>150000</f>
        <v>150000</v>
      </c>
      <c r="U93" s="17"/>
      <c r="V93" s="17"/>
      <c r="W93" s="17">
        <f>78156.7</f>
        <v>78156.7</v>
      </c>
      <c r="X93" s="17"/>
      <c r="Y93" s="17"/>
      <c r="Z93" s="17"/>
      <c r="AA93" s="17"/>
      <c r="AB93" s="52">
        <f>71843.3</f>
        <v>71843.3</v>
      </c>
      <c r="AC93" s="52"/>
    </row>
    <row r="94" spans="1:29" s="1" customFormat="1" ht="24" customHeight="1">
      <c r="A94" s="14" t="s">
        <v>137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 t="s">
        <v>90</v>
      </c>
      <c r="M94" s="15"/>
      <c r="N94" s="15"/>
      <c r="O94" s="15" t="s">
        <v>158</v>
      </c>
      <c r="P94" s="15"/>
      <c r="Q94" s="15"/>
      <c r="R94" s="23" t="s">
        <v>138</v>
      </c>
      <c r="S94" s="23"/>
      <c r="T94" s="17">
        <f>5500</f>
        <v>5500</v>
      </c>
      <c r="U94" s="17"/>
      <c r="V94" s="17"/>
      <c r="W94" s="21" t="s">
        <v>44</v>
      </c>
      <c r="X94" s="21"/>
      <c r="Y94" s="21"/>
      <c r="Z94" s="21"/>
      <c r="AA94" s="21"/>
      <c r="AB94" s="52">
        <f>5500</f>
        <v>5500</v>
      </c>
      <c r="AC94" s="52"/>
    </row>
    <row r="95" spans="1:29" s="1" customFormat="1" ht="13.5" customHeight="1">
      <c r="A95" s="14" t="s">
        <v>120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 t="s">
        <v>90</v>
      </c>
      <c r="M95" s="15"/>
      <c r="N95" s="15"/>
      <c r="O95" s="15" t="s">
        <v>159</v>
      </c>
      <c r="P95" s="15"/>
      <c r="Q95" s="15"/>
      <c r="R95" s="23" t="s">
        <v>121</v>
      </c>
      <c r="S95" s="23"/>
      <c r="T95" s="17">
        <f>4826.09</f>
        <v>4826.09</v>
      </c>
      <c r="U95" s="17"/>
      <c r="V95" s="17"/>
      <c r="W95" s="21" t="s">
        <v>44</v>
      </c>
      <c r="X95" s="21"/>
      <c r="Y95" s="21"/>
      <c r="Z95" s="21"/>
      <c r="AA95" s="21"/>
      <c r="AB95" s="52">
        <f>4826.09</f>
        <v>4826.09</v>
      </c>
      <c r="AC95" s="52"/>
    </row>
    <row r="96" spans="1:29" s="1" customFormat="1" ht="13.5" customHeight="1">
      <c r="A96" s="14" t="s">
        <v>120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 t="s">
        <v>90</v>
      </c>
      <c r="M96" s="15"/>
      <c r="N96" s="15"/>
      <c r="O96" s="15" t="s">
        <v>160</v>
      </c>
      <c r="P96" s="15"/>
      <c r="Q96" s="15"/>
      <c r="R96" s="23" t="s">
        <v>121</v>
      </c>
      <c r="S96" s="23"/>
      <c r="T96" s="17">
        <f>4826.09</f>
        <v>4826.09</v>
      </c>
      <c r="U96" s="17"/>
      <c r="V96" s="17"/>
      <c r="W96" s="21" t="s">
        <v>44</v>
      </c>
      <c r="X96" s="21"/>
      <c r="Y96" s="21"/>
      <c r="Z96" s="21"/>
      <c r="AA96" s="21"/>
      <c r="AB96" s="52">
        <f>4826.09</f>
        <v>4826.09</v>
      </c>
      <c r="AC96" s="52"/>
    </row>
    <row r="97" spans="1:29" s="1" customFormat="1" ht="24" customHeight="1">
      <c r="A97" s="14" t="s">
        <v>137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 t="s">
        <v>90</v>
      </c>
      <c r="M97" s="15"/>
      <c r="N97" s="15"/>
      <c r="O97" s="15" t="s">
        <v>161</v>
      </c>
      <c r="P97" s="15"/>
      <c r="Q97" s="15"/>
      <c r="R97" s="23" t="s">
        <v>138</v>
      </c>
      <c r="S97" s="23"/>
      <c r="T97" s="17">
        <f>10000</f>
        <v>10000</v>
      </c>
      <c r="U97" s="17"/>
      <c r="V97" s="17"/>
      <c r="W97" s="21" t="s">
        <v>44</v>
      </c>
      <c r="X97" s="21"/>
      <c r="Y97" s="21"/>
      <c r="Z97" s="21"/>
      <c r="AA97" s="21"/>
      <c r="AB97" s="52">
        <f>10000</f>
        <v>10000</v>
      </c>
      <c r="AC97" s="52"/>
    </row>
    <row r="98" spans="1:29" s="1" customFormat="1" ht="13.5" customHeight="1">
      <c r="A98" s="14" t="s">
        <v>120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 t="s">
        <v>90</v>
      </c>
      <c r="M98" s="15"/>
      <c r="N98" s="15"/>
      <c r="O98" s="15" t="s">
        <v>162</v>
      </c>
      <c r="P98" s="15"/>
      <c r="Q98" s="15"/>
      <c r="R98" s="23" t="s">
        <v>121</v>
      </c>
      <c r="S98" s="23"/>
      <c r="T98" s="17">
        <f>12673</f>
        <v>12673</v>
      </c>
      <c r="U98" s="17"/>
      <c r="V98" s="17"/>
      <c r="W98" s="17">
        <f>12000</f>
        <v>12000</v>
      </c>
      <c r="X98" s="17"/>
      <c r="Y98" s="17"/>
      <c r="Z98" s="17"/>
      <c r="AA98" s="17"/>
      <c r="AB98" s="52">
        <f>673</f>
        <v>673</v>
      </c>
      <c r="AC98" s="52"/>
    </row>
    <row r="99" spans="1:29" s="1" customFormat="1" ht="13.5" customHeight="1">
      <c r="A99" s="14" t="s">
        <v>118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 t="s">
        <v>90</v>
      </c>
      <c r="M99" s="15"/>
      <c r="N99" s="15"/>
      <c r="O99" s="15" t="s">
        <v>163</v>
      </c>
      <c r="P99" s="15"/>
      <c r="Q99" s="15"/>
      <c r="R99" s="23" t="s">
        <v>119</v>
      </c>
      <c r="S99" s="23"/>
      <c r="T99" s="17">
        <f>2829117.67</f>
        <v>2829117.67</v>
      </c>
      <c r="U99" s="17"/>
      <c r="V99" s="17"/>
      <c r="W99" s="21" t="s">
        <v>44</v>
      </c>
      <c r="X99" s="21"/>
      <c r="Y99" s="21"/>
      <c r="Z99" s="21"/>
      <c r="AA99" s="21"/>
      <c r="AB99" s="52">
        <f>2829117.67</f>
        <v>2829117.67</v>
      </c>
      <c r="AC99" s="52"/>
    </row>
    <row r="100" spans="1:29" s="1" customFormat="1" ht="13.5" customHeight="1">
      <c r="A100" s="14" t="s">
        <v>118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 t="s">
        <v>90</v>
      </c>
      <c r="M100" s="15"/>
      <c r="N100" s="15"/>
      <c r="O100" s="15" t="s">
        <v>164</v>
      </c>
      <c r="P100" s="15"/>
      <c r="Q100" s="15"/>
      <c r="R100" s="23" t="s">
        <v>119</v>
      </c>
      <c r="S100" s="23"/>
      <c r="T100" s="17">
        <f>305000</f>
        <v>305000</v>
      </c>
      <c r="U100" s="17"/>
      <c r="V100" s="17"/>
      <c r="W100" s="17">
        <f>153918.1</f>
        <v>153918.1</v>
      </c>
      <c r="X100" s="17"/>
      <c r="Y100" s="17"/>
      <c r="Z100" s="17"/>
      <c r="AA100" s="17"/>
      <c r="AB100" s="52">
        <f>151081.9</f>
        <v>151081.9</v>
      </c>
      <c r="AC100" s="52"/>
    </row>
    <row r="101" spans="1:29" s="1" customFormat="1" ht="13.5" customHeight="1">
      <c r="A101" s="14" t="s">
        <v>120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 t="s">
        <v>90</v>
      </c>
      <c r="M101" s="15"/>
      <c r="N101" s="15"/>
      <c r="O101" s="15" t="s">
        <v>165</v>
      </c>
      <c r="P101" s="15"/>
      <c r="Q101" s="15"/>
      <c r="R101" s="23" t="s">
        <v>121</v>
      </c>
      <c r="S101" s="23"/>
      <c r="T101" s="17">
        <f>137720</f>
        <v>137720</v>
      </c>
      <c r="U101" s="17"/>
      <c r="V101" s="17"/>
      <c r="W101" s="17">
        <f>137720</f>
        <v>137720</v>
      </c>
      <c r="X101" s="17"/>
      <c r="Y101" s="17"/>
      <c r="Z101" s="17"/>
      <c r="AA101" s="17"/>
      <c r="AB101" s="52">
        <f>0</f>
        <v>0</v>
      </c>
      <c r="AC101" s="52"/>
    </row>
    <row r="102" spans="1:29" s="1" customFormat="1" ht="13.5" customHeight="1">
      <c r="A102" s="14" t="s">
        <v>120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 t="s">
        <v>90</v>
      </c>
      <c r="M102" s="15"/>
      <c r="N102" s="15"/>
      <c r="O102" s="15" t="s">
        <v>166</v>
      </c>
      <c r="P102" s="15"/>
      <c r="Q102" s="15"/>
      <c r="R102" s="23" t="s">
        <v>121</v>
      </c>
      <c r="S102" s="23"/>
      <c r="T102" s="17">
        <f>342680</f>
        <v>342680</v>
      </c>
      <c r="U102" s="17"/>
      <c r="V102" s="17"/>
      <c r="W102" s="17">
        <f>117029</f>
        <v>117029</v>
      </c>
      <c r="X102" s="17"/>
      <c r="Y102" s="17"/>
      <c r="Z102" s="17"/>
      <c r="AA102" s="17"/>
      <c r="AB102" s="52">
        <f>225651</f>
        <v>225651</v>
      </c>
      <c r="AC102" s="52"/>
    </row>
    <row r="103" spans="1:29" s="1" customFormat="1" ht="13.5" customHeight="1">
      <c r="A103" s="14" t="s">
        <v>120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 t="s">
        <v>90</v>
      </c>
      <c r="M103" s="15"/>
      <c r="N103" s="15"/>
      <c r="O103" s="15" t="s">
        <v>167</v>
      </c>
      <c r="P103" s="15"/>
      <c r="Q103" s="15"/>
      <c r="R103" s="23" t="s">
        <v>121</v>
      </c>
      <c r="S103" s="23"/>
      <c r="T103" s="17">
        <f>15600</f>
        <v>15600</v>
      </c>
      <c r="U103" s="17"/>
      <c r="V103" s="17"/>
      <c r="W103" s="17">
        <f>6500</f>
        <v>6500</v>
      </c>
      <c r="X103" s="17"/>
      <c r="Y103" s="17"/>
      <c r="Z103" s="17"/>
      <c r="AA103" s="17"/>
      <c r="AB103" s="52">
        <f>9100</f>
        <v>9100</v>
      </c>
      <c r="AC103" s="52"/>
    </row>
    <row r="104" spans="1:29" s="1" customFormat="1" ht="13.5" customHeight="1">
      <c r="A104" s="14" t="s">
        <v>125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 t="s">
        <v>90</v>
      </c>
      <c r="M104" s="15"/>
      <c r="N104" s="15"/>
      <c r="O104" s="15" t="s">
        <v>168</v>
      </c>
      <c r="P104" s="15"/>
      <c r="Q104" s="15"/>
      <c r="R104" s="23" t="s">
        <v>126</v>
      </c>
      <c r="S104" s="23"/>
      <c r="T104" s="17">
        <f>81000</f>
        <v>81000</v>
      </c>
      <c r="U104" s="17"/>
      <c r="V104" s="17"/>
      <c r="W104" s="17">
        <f>28747.09</f>
        <v>28747.09</v>
      </c>
      <c r="X104" s="17"/>
      <c r="Y104" s="17"/>
      <c r="Z104" s="17"/>
      <c r="AA104" s="17"/>
      <c r="AB104" s="52">
        <f>52252.91</f>
        <v>52252.91</v>
      </c>
      <c r="AC104" s="52"/>
    </row>
    <row r="105" spans="1:29" s="1" customFormat="1" ht="13.5" customHeight="1">
      <c r="A105" s="14" t="s">
        <v>118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 t="s">
        <v>90</v>
      </c>
      <c r="M105" s="15"/>
      <c r="N105" s="15"/>
      <c r="O105" s="15" t="s">
        <v>168</v>
      </c>
      <c r="P105" s="15"/>
      <c r="Q105" s="15"/>
      <c r="R105" s="23" t="s">
        <v>119</v>
      </c>
      <c r="S105" s="23"/>
      <c r="T105" s="17">
        <f>117343.52</f>
        <v>117343.52</v>
      </c>
      <c r="U105" s="17"/>
      <c r="V105" s="17"/>
      <c r="W105" s="17">
        <f>53282.4</f>
        <v>53282.4</v>
      </c>
      <c r="X105" s="17"/>
      <c r="Y105" s="17"/>
      <c r="Z105" s="17"/>
      <c r="AA105" s="17"/>
      <c r="AB105" s="52">
        <f>64061.12</f>
        <v>64061.12</v>
      </c>
      <c r="AC105" s="52"/>
    </row>
    <row r="106" spans="1:29" s="1" customFormat="1" ht="13.5" customHeight="1">
      <c r="A106" s="14" t="s">
        <v>120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 t="s">
        <v>90</v>
      </c>
      <c r="M106" s="15"/>
      <c r="N106" s="15"/>
      <c r="O106" s="15" t="s">
        <v>168</v>
      </c>
      <c r="P106" s="15"/>
      <c r="Q106" s="15"/>
      <c r="R106" s="23" t="s">
        <v>121</v>
      </c>
      <c r="S106" s="23"/>
      <c r="T106" s="17">
        <f>36241.67</f>
        <v>36241.67</v>
      </c>
      <c r="U106" s="17"/>
      <c r="V106" s="17"/>
      <c r="W106" s="17">
        <f>12642.36</f>
        <v>12642.36</v>
      </c>
      <c r="X106" s="17"/>
      <c r="Y106" s="17"/>
      <c r="Z106" s="17"/>
      <c r="AA106" s="17"/>
      <c r="AB106" s="52">
        <f>23599.31</f>
        <v>23599.31</v>
      </c>
      <c r="AC106" s="52"/>
    </row>
    <row r="107" spans="1:29" s="1" customFormat="1" ht="13.5" customHeight="1">
      <c r="A107" s="14" t="s">
        <v>120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 t="s">
        <v>90</v>
      </c>
      <c r="M107" s="15"/>
      <c r="N107" s="15"/>
      <c r="O107" s="15" t="s">
        <v>169</v>
      </c>
      <c r="P107" s="15"/>
      <c r="Q107" s="15"/>
      <c r="R107" s="23" t="s">
        <v>121</v>
      </c>
      <c r="S107" s="23"/>
      <c r="T107" s="17">
        <f>10000</f>
        <v>10000</v>
      </c>
      <c r="U107" s="17"/>
      <c r="V107" s="17"/>
      <c r="W107" s="17">
        <f>10000</f>
        <v>10000</v>
      </c>
      <c r="X107" s="17"/>
      <c r="Y107" s="17"/>
      <c r="Z107" s="17"/>
      <c r="AA107" s="17"/>
      <c r="AB107" s="52">
        <f>0</f>
        <v>0</v>
      </c>
      <c r="AC107" s="52"/>
    </row>
    <row r="108" spans="1:29" s="1" customFormat="1" ht="13.5" customHeight="1">
      <c r="A108" s="14" t="s">
        <v>118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 t="s">
        <v>90</v>
      </c>
      <c r="M108" s="15"/>
      <c r="N108" s="15"/>
      <c r="O108" s="15" t="s">
        <v>170</v>
      </c>
      <c r="P108" s="15"/>
      <c r="Q108" s="15"/>
      <c r="R108" s="23" t="s">
        <v>119</v>
      </c>
      <c r="S108" s="23"/>
      <c r="T108" s="17">
        <f>10656.48</f>
        <v>10656.48</v>
      </c>
      <c r="U108" s="17"/>
      <c r="V108" s="17"/>
      <c r="W108" s="17">
        <f>10656.48</f>
        <v>10656.48</v>
      </c>
      <c r="X108" s="17"/>
      <c r="Y108" s="17"/>
      <c r="Z108" s="17"/>
      <c r="AA108" s="17"/>
      <c r="AB108" s="52">
        <f>0</f>
        <v>0</v>
      </c>
      <c r="AC108" s="52"/>
    </row>
    <row r="109" spans="1:29" s="1" customFormat="1" ht="13.5" customHeight="1">
      <c r="A109" s="14" t="s">
        <v>120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 t="s">
        <v>90</v>
      </c>
      <c r="M109" s="15"/>
      <c r="N109" s="15"/>
      <c r="O109" s="15" t="s">
        <v>170</v>
      </c>
      <c r="P109" s="15"/>
      <c r="Q109" s="15"/>
      <c r="R109" s="23" t="s">
        <v>121</v>
      </c>
      <c r="S109" s="23"/>
      <c r="T109" s="17">
        <f>458.33</f>
        <v>458.33</v>
      </c>
      <c r="U109" s="17"/>
      <c r="V109" s="17"/>
      <c r="W109" s="17">
        <f>458.33</f>
        <v>458.33</v>
      </c>
      <c r="X109" s="17"/>
      <c r="Y109" s="17"/>
      <c r="Z109" s="17"/>
      <c r="AA109" s="17"/>
      <c r="AB109" s="52">
        <f>0</f>
        <v>0</v>
      </c>
      <c r="AC109" s="52"/>
    </row>
    <row r="110" spans="1:29" s="1" customFormat="1" ht="13.5" customHeight="1">
      <c r="A110" s="14" t="s">
        <v>120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5" t="s">
        <v>90</v>
      </c>
      <c r="M110" s="15"/>
      <c r="N110" s="15"/>
      <c r="O110" s="15" t="s">
        <v>171</v>
      </c>
      <c r="P110" s="15"/>
      <c r="Q110" s="15"/>
      <c r="R110" s="23" t="s">
        <v>121</v>
      </c>
      <c r="S110" s="23"/>
      <c r="T110" s="17">
        <f>593504.11</f>
        <v>593504.11</v>
      </c>
      <c r="U110" s="17"/>
      <c r="V110" s="17"/>
      <c r="W110" s="21" t="s">
        <v>44</v>
      </c>
      <c r="X110" s="21"/>
      <c r="Y110" s="21"/>
      <c r="Z110" s="21"/>
      <c r="AA110" s="21"/>
      <c r="AB110" s="52">
        <f>593504.11</f>
        <v>593504.11</v>
      </c>
      <c r="AC110" s="52"/>
    </row>
    <row r="111" spans="1:29" s="1" customFormat="1" ht="13.5" customHeight="1">
      <c r="A111" s="14" t="s">
        <v>120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5" t="s">
        <v>90</v>
      </c>
      <c r="M111" s="15"/>
      <c r="N111" s="15"/>
      <c r="O111" s="15" t="s">
        <v>172</v>
      </c>
      <c r="P111" s="15"/>
      <c r="Q111" s="15"/>
      <c r="R111" s="23" t="s">
        <v>121</v>
      </c>
      <c r="S111" s="23"/>
      <c r="T111" s="17">
        <f>188908.95</f>
        <v>188908.95</v>
      </c>
      <c r="U111" s="17"/>
      <c r="V111" s="17"/>
      <c r="W111" s="21" t="s">
        <v>44</v>
      </c>
      <c r="X111" s="21"/>
      <c r="Y111" s="21"/>
      <c r="Z111" s="21"/>
      <c r="AA111" s="21"/>
      <c r="AB111" s="52">
        <f>188908.95</f>
        <v>188908.95</v>
      </c>
      <c r="AC111" s="52"/>
    </row>
    <row r="112" spans="1:29" s="1" customFormat="1" ht="13.5" customHeight="1">
      <c r="A112" s="14" t="s">
        <v>118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5" t="s">
        <v>90</v>
      </c>
      <c r="M112" s="15"/>
      <c r="N112" s="15"/>
      <c r="O112" s="15" t="s">
        <v>173</v>
      </c>
      <c r="P112" s="15"/>
      <c r="Q112" s="15"/>
      <c r="R112" s="23" t="s">
        <v>119</v>
      </c>
      <c r="S112" s="23"/>
      <c r="T112" s="17">
        <f>723244.89</f>
        <v>723244.89</v>
      </c>
      <c r="U112" s="17"/>
      <c r="V112" s="17"/>
      <c r="W112" s="21" t="s">
        <v>44</v>
      </c>
      <c r="X112" s="21"/>
      <c r="Y112" s="21"/>
      <c r="Z112" s="21"/>
      <c r="AA112" s="21"/>
      <c r="AB112" s="52">
        <f>723244.89</f>
        <v>723244.89</v>
      </c>
      <c r="AC112" s="52"/>
    </row>
    <row r="113" spans="1:29" s="1" customFormat="1" ht="13.5" customHeight="1">
      <c r="A113" s="14" t="s">
        <v>118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5" t="s">
        <v>90</v>
      </c>
      <c r="M113" s="15"/>
      <c r="N113" s="15"/>
      <c r="O113" s="15" t="s">
        <v>174</v>
      </c>
      <c r="P113" s="15"/>
      <c r="Q113" s="15"/>
      <c r="R113" s="23" t="s">
        <v>119</v>
      </c>
      <c r="S113" s="23"/>
      <c r="T113" s="17">
        <f>101544.24</f>
        <v>101544.24</v>
      </c>
      <c r="U113" s="17"/>
      <c r="V113" s="17"/>
      <c r="W113" s="17">
        <f>59908</f>
        <v>59908</v>
      </c>
      <c r="X113" s="17"/>
      <c r="Y113" s="17"/>
      <c r="Z113" s="17"/>
      <c r="AA113" s="17"/>
      <c r="AB113" s="52">
        <f>41636.24</f>
        <v>41636.24</v>
      </c>
      <c r="AC113" s="52"/>
    </row>
    <row r="114" spans="1:29" s="1" customFormat="1" ht="13.5" customHeight="1">
      <c r="A114" s="14" t="s">
        <v>125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5" t="s">
        <v>90</v>
      </c>
      <c r="M114" s="15"/>
      <c r="N114" s="15"/>
      <c r="O114" s="15" t="s">
        <v>175</v>
      </c>
      <c r="P114" s="15"/>
      <c r="Q114" s="15"/>
      <c r="R114" s="23" t="s">
        <v>126</v>
      </c>
      <c r="S114" s="23"/>
      <c r="T114" s="17">
        <f>513961.92</f>
        <v>513961.92</v>
      </c>
      <c r="U114" s="17"/>
      <c r="V114" s="17"/>
      <c r="W114" s="17">
        <f>312778.09</f>
        <v>312778.09</v>
      </c>
      <c r="X114" s="17"/>
      <c r="Y114" s="17"/>
      <c r="Z114" s="17"/>
      <c r="AA114" s="17"/>
      <c r="AB114" s="52">
        <f>201183.83</f>
        <v>201183.83</v>
      </c>
      <c r="AC114" s="52"/>
    </row>
    <row r="115" spans="1:29" s="1" customFormat="1" ht="13.5" customHeight="1">
      <c r="A115" s="14" t="s">
        <v>118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5" t="s">
        <v>90</v>
      </c>
      <c r="M115" s="15"/>
      <c r="N115" s="15"/>
      <c r="O115" s="15" t="s">
        <v>175</v>
      </c>
      <c r="P115" s="15"/>
      <c r="Q115" s="15"/>
      <c r="R115" s="23" t="s">
        <v>119</v>
      </c>
      <c r="S115" s="23"/>
      <c r="T115" s="17">
        <f>155000</f>
        <v>155000</v>
      </c>
      <c r="U115" s="17"/>
      <c r="V115" s="17"/>
      <c r="W115" s="17">
        <f>67728.66</f>
        <v>67728.66</v>
      </c>
      <c r="X115" s="17"/>
      <c r="Y115" s="17"/>
      <c r="Z115" s="17"/>
      <c r="AA115" s="17"/>
      <c r="AB115" s="52">
        <f>87271.34</f>
        <v>87271.34</v>
      </c>
      <c r="AC115" s="52"/>
    </row>
    <row r="116" spans="1:29" s="1" customFormat="1" ht="13.5" customHeight="1">
      <c r="A116" s="14" t="s">
        <v>120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5" t="s">
        <v>90</v>
      </c>
      <c r="M116" s="15"/>
      <c r="N116" s="15"/>
      <c r="O116" s="15" t="s">
        <v>175</v>
      </c>
      <c r="P116" s="15"/>
      <c r="Q116" s="15"/>
      <c r="R116" s="23" t="s">
        <v>121</v>
      </c>
      <c r="S116" s="23"/>
      <c r="T116" s="17">
        <f>539169</f>
        <v>539169</v>
      </c>
      <c r="U116" s="17"/>
      <c r="V116" s="17"/>
      <c r="W116" s="17">
        <f>85538.3</f>
        <v>85538.3</v>
      </c>
      <c r="X116" s="17"/>
      <c r="Y116" s="17"/>
      <c r="Z116" s="17"/>
      <c r="AA116" s="17"/>
      <c r="AB116" s="52">
        <f>453630.7</f>
        <v>453630.7</v>
      </c>
      <c r="AC116" s="52"/>
    </row>
    <row r="117" spans="1:29" s="1" customFormat="1" ht="13.5" customHeight="1">
      <c r="A117" s="14" t="s">
        <v>129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5" t="s">
        <v>90</v>
      </c>
      <c r="M117" s="15"/>
      <c r="N117" s="15"/>
      <c r="O117" s="15" t="s">
        <v>175</v>
      </c>
      <c r="P117" s="15"/>
      <c r="Q117" s="15"/>
      <c r="R117" s="23" t="s">
        <v>130</v>
      </c>
      <c r="S117" s="23"/>
      <c r="T117" s="17">
        <f>78760</f>
        <v>78760</v>
      </c>
      <c r="U117" s="17"/>
      <c r="V117" s="17"/>
      <c r="W117" s="21" t="s">
        <v>44</v>
      </c>
      <c r="X117" s="21"/>
      <c r="Y117" s="21"/>
      <c r="Z117" s="21"/>
      <c r="AA117" s="21"/>
      <c r="AB117" s="52">
        <f>78760</f>
        <v>78760</v>
      </c>
      <c r="AC117" s="52"/>
    </row>
    <row r="118" spans="1:29" s="1" customFormat="1" ht="13.5" customHeight="1">
      <c r="A118" s="14" t="s">
        <v>135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5" t="s">
        <v>90</v>
      </c>
      <c r="M118" s="15"/>
      <c r="N118" s="15"/>
      <c r="O118" s="15" t="s">
        <v>175</v>
      </c>
      <c r="P118" s="15"/>
      <c r="Q118" s="15"/>
      <c r="R118" s="23" t="s">
        <v>136</v>
      </c>
      <c r="S118" s="23"/>
      <c r="T118" s="17">
        <f>21240</f>
        <v>21240</v>
      </c>
      <c r="U118" s="17"/>
      <c r="V118" s="17"/>
      <c r="W118" s="17">
        <f>21240</f>
        <v>21240</v>
      </c>
      <c r="X118" s="17"/>
      <c r="Y118" s="17"/>
      <c r="Z118" s="17"/>
      <c r="AA118" s="17"/>
      <c r="AB118" s="52">
        <f>0</f>
        <v>0</v>
      </c>
      <c r="AC118" s="52"/>
    </row>
    <row r="119" spans="1:29" s="1" customFormat="1" ht="13.5" customHeight="1">
      <c r="A119" s="14" t="s">
        <v>91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5" t="s">
        <v>90</v>
      </c>
      <c r="M119" s="15"/>
      <c r="N119" s="15"/>
      <c r="O119" s="15" t="s">
        <v>176</v>
      </c>
      <c r="P119" s="15"/>
      <c r="Q119" s="15"/>
      <c r="R119" s="23" t="s">
        <v>93</v>
      </c>
      <c r="S119" s="23"/>
      <c r="T119" s="17">
        <f>165.5</f>
        <v>165.5</v>
      </c>
      <c r="U119" s="17"/>
      <c r="V119" s="17"/>
      <c r="W119" s="17">
        <f>165.5</f>
        <v>165.5</v>
      </c>
      <c r="X119" s="17"/>
      <c r="Y119" s="17"/>
      <c r="Z119" s="17"/>
      <c r="AA119" s="17"/>
      <c r="AB119" s="52">
        <f>0</f>
        <v>0</v>
      </c>
      <c r="AC119" s="52"/>
    </row>
    <row r="120" spans="1:29" s="1" customFormat="1" ht="13.5" customHeight="1">
      <c r="A120" s="14" t="s">
        <v>97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5" t="s">
        <v>90</v>
      </c>
      <c r="M120" s="15"/>
      <c r="N120" s="15"/>
      <c r="O120" s="15" t="s">
        <v>177</v>
      </c>
      <c r="P120" s="15"/>
      <c r="Q120" s="15"/>
      <c r="R120" s="23" t="s">
        <v>99</v>
      </c>
      <c r="S120" s="23"/>
      <c r="T120" s="17">
        <f>49.98</f>
        <v>49.98</v>
      </c>
      <c r="U120" s="17"/>
      <c r="V120" s="17"/>
      <c r="W120" s="17">
        <f>49.98</f>
        <v>49.98</v>
      </c>
      <c r="X120" s="17"/>
      <c r="Y120" s="17"/>
      <c r="Z120" s="17"/>
      <c r="AA120" s="17"/>
      <c r="AB120" s="52">
        <f>0</f>
        <v>0</v>
      </c>
      <c r="AC120" s="52"/>
    </row>
    <row r="121" spans="1:29" s="1" customFormat="1" ht="13.5" customHeight="1">
      <c r="A121" s="14" t="s">
        <v>120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5" t="s">
        <v>90</v>
      </c>
      <c r="M121" s="15"/>
      <c r="N121" s="15"/>
      <c r="O121" s="15" t="s">
        <v>178</v>
      </c>
      <c r="P121" s="15"/>
      <c r="Q121" s="15"/>
      <c r="R121" s="23" t="s">
        <v>121</v>
      </c>
      <c r="S121" s="23"/>
      <c r="T121" s="17">
        <f>149950</f>
        <v>149950</v>
      </c>
      <c r="U121" s="17"/>
      <c r="V121" s="17"/>
      <c r="W121" s="21" t="s">
        <v>44</v>
      </c>
      <c r="X121" s="21"/>
      <c r="Y121" s="21"/>
      <c r="Z121" s="21"/>
      <c r="AA121" s="21"/>
      <c r="AB121" s="52">
        <f>149950</f>
        <v>149950</v>
      </c>
      <c r="AC121" s="52"/>
    </row>
    <row r="122" spans="1:29" s="1" customFormat="1" ht="13.5" customHeight="1">
      <c r="A122" s="14" t="s">
        <v>125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5" t="s">
        <v>90</v>
      </c>
      <c r="M122" s="15"/>
      <c r="N122" s="15"/>
      <c r="O122" s="15" t="s">
        <v>179</v>
      </c>
      <c r="P122" s="15"/>
      <c r="Q122" s="15"/>
      <c r="R122" s="23" t="s">
        <v>126</v>
      </c>
      <c r="S122" s="23"/>
      <c r="T122" s="17">
        <f>819000</f>
        <v>819000</v>
      </c>
      <c r="U122" s="17"/>
      <c r="V122" s="17"/>
      <c r="W122" s="17">
        <f>373758</f>
        <v>373758</v>
      </c>
      <c r="X122" s="17"/>
      <c r="Y122" s="17"/>
      <c r="Z122" s="17"/>
      <c r="AA122" s="17"/>
      <c r="AB122" s="52">
        <f>445242</f>
        <v>445242</v>
      </c>
      <c r="AC122" s="52"/>
    </row>
    <row r="123" spans="1:29" s="1" customFormat="1" ht="13.5" customHeight="1">
      <c r="A123" s="14" t="s">
        <v>120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5" t="s">
        <v>90</v>
      </c>
      <c r="M123" s="15"/>
      <c r="N123" s="15"/>
      <c r="O123" s="15" t="s">
        <v>180</v>
      </c>
      <c r="P123" s="15"/>
      <c r="Q123" s="15"/>
      <c r="R123" s="23" t="s">
        <v>121</v>
      </c>
      <c r="S123" s="23"/>
      <c r="T123" s="17">
        <f>25000</f>
        <v>25000</v>
      </c>
      <c r="U123" s="17"/>
      <c r="V123" s="17"/>
      <c r="W123" s="17">
        <f>15000</f>
        <v>15000</v>
      </c>
      <c r="X123" s="17"/>
      <c r="Y123" s="17"/>
      <c r="Z123" s="17"/>
      <c r="AA123" s="17"/>
      <c r="AB123" s="52">
        <f>10000</f>
        <v>10000</v>
      </c>
      <c r="AC123" s="52"/>
    </row>
    <row r="124" spans="1:29" s="1" customFormat="1" ht="24" customHeight="1">
      <c r="A124" s="14" t="s">
        <v>137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5" t="s">
        <v>90</v>
      </c>
      <c r="M124" s="15"/>
      <c r="N124" s="15"/>
      <c r="O124" s="15" t="s">
        <v>181</v>
      </c>
      <c r="P124" s="15"/>
      <c r="Q124" s="15"/>
      <c r="R124" s="23" t="s">
        <v>138</v>
      </c>
      <c r="S124" s="23"/>
      <c r="T124" s="17">
        <f>50000</f>
        <v>50000</v>
      </c>
      <c r="U124" s="17"/>
      <c r="V124" s="17"/>
      <c r="W124" s="21" t="s">
        <v>44</v>
      </c>
      <c r="X124" s="21"/>
      <c r="Y124" s="21"/>
      <c r="Z124" s="21"/>
      <c r="AA124" s="21"/>
      <c r="AB124" s="52">
        <f>50000</f>
        <v>50000</v>
      </c>
      <c r="AC124" s="52"/>
    </row>
    <row r="125" spans="1:29" s="1" customFormat="1" ht="24" customHeight="1">
      <c r="A125" s="14" t="s">
        <v>182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5" t="s">
        <v>90</v>
      </c>
      <c r="M125" s="15"/>
      <c r="N125" s="15"/>
      <c r="O125" s="15" t="s">
        <v>183</v>
      </c>
      <c r="P125" s="15"/>
      <c r="Q125" s="15"/>
      <c r="R125" s="23" t="s">
        <v>184</v>
      </c>
      <c r="S125" s="23"/>
      <c r="T125" s="17">
        <f>60000</f>
        <v>60000</v>
      </c>
      <c r="U125" s="17"/>
      <c r="V125" s="17"/>
      <c r="W125" s="17">
        <f>30000</f>
        <v>30000</v>
      </c>
      <c r="X125" s="17"/>
      <c r="Y125" s="17"/>
      <c r="Z125" s="17"/>
      <c r="AA125" s="17"/>
      <c r="AB125" s="52">
        <f>30000</f>
        <v>30000</v>
      </c>
      <c r="AC125" s="52"/>
    </row>
    <row r="126" spans="1:29" s="1" customFormat="1" ht="13.5" customHeight="1">
      <c r="A126" s="14" t="s">
        <v>185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5" t="s">
        <v>90</v>
      </c>
      <c r="M126" s="15"/>
      <c r="N126" s="15"/>
      <c r="O126" s="15" t="s">
        <v>186</v>
      </c>
      <c r="P126" s="15"/>
      <c r="Q126" s="15"/>
      <c r="R126" s="23" t="s">
        <v>187</v>
      </c>
      <c r="S126" s="23"/>
      <c r="T126" s="17">
        <f>7665621.46</f>
        <v>7665621.46</v>
      </c>
      <c r="U126" s="17"/>
      <c r="V126" s="17"/>
      <c r="W126" s="17">
        <f>7665621.46</f>
        <v>7665621.46</v>
      </c>
      <c r="X126" s="17"/>
      <c r="Y126" s="17"/>
      <c r="Z126" s="17"/>
      <c r="AA126" s="17"/>
      <c r="AB126" s="52">
        <f>0</f>
        <v>0</v>
      </c>
      <c r="AC126" s="52"/>
    </row>
    <row r="127" spans="1:29" s="1" customFormat="1" ht="13.5" customHeight="1">
      <c r="A127" s="14" t="s">
        <v>185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5" t="s">
        <v>90</v>
      </c>
      <c r="M127" s="15"/>
      <c r="N127" s="15"/>
      <c r="O127" s="15" t="s">
        <v>188</v>
      </c>
      <c r="P127" s="15"/>
      <c r="Q127" s="15"/>
      <c r="R127" s="23" t="s">
        <v>187</v>
      </c>
      <c r="S127" s="23"/>
      <c r="T127" s="17">
        <f>1427294.45</f>
        <v>1427294.45</v>
      </c>
      <c r="U127" s="17"/>
      <c r="V127" s="17"/>
      <c r="W127" s="17">
        <f>1427294.45</f>
        <v>1427294.45</v>
      </c>
      <c r="X127" s="17"/>
      <c r="Y127" s="17"/>
      <c r="Z127" s="17"/>
      <c r="AA127" s="17"/>
      <c r="AB127" s="52">
        <f>0</f>
        <v>0</v>
      </c>
      <c r="AC127" s="52"/>
    </row>
    <row r="128" spans="1:29" s="1" customFormat="1" ht="15" customHeight="1">
      <c r="A128" s="48" t="s">
        <v>189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9" t="s">
        <v>190</v>
      </c>
      <c r="M128" s="49"/>
      <c r="N128" s="49"/>
      <c r="O128" s="49" t="s">
        <v>35</v>
      </c>
      <c r="P128" s="49"/>
      <c r="Q128" s="49"/>
      <c r="R128" s="50" t="s">
        <v>35</v>
      </c>
      <c r="S128" s="50"/>
      <c r="T128" s="51">
        <f>-1037111.29</f>
        <v>-1037111.29</v>
      </c>
      <c r="U128" s="51"/>
      <c r="V128" s="51"/>
      <c r="W128" s="51">
        <f>1949497.68</f>
        <v>1949497.68</v>
      </c>
      <c r="X128" s="51"/>
      <c r="Y128" s="51"/>
      <c r="Z128" s="51"/>
      <c r="AA128" s="51"/>
      <c r="AB128" s="43" t="s">
        <v>35</v>
      </c>
      <c r="AC128" s="43"/>
    </row>
    <row r="129" spans="1:29" s="1" customFormat="1" ht="13.5" customHeight="1">
      <c r="A129" s="8" t="s">
        <v>10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 spans="1:29" s="1" customFormat="1" ht="13.5" customHeight="1">
      <c r="A130" s="44" t="s">
        <v>191</v>
      </c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</row>
    <row r="131" spans="1:29" s="1" customFormat="1" ht="45.75" customHeight="1">
      <c r="A131" s="45" t="s">
        <v>21</v>
      </c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 t="s">
        <v>22</v>
      </c>
      <c r="N131" s="45"/>
      <c r="O131" s="45"/>
      <c r="P131" s="45" t="s">
        <v>192</v>
      </c>
      <c r="Q131" s="45"/>
      <c r="R131" s="45"/>
      <c r="S131" s="46" t="s">
        <v>24</v>
      </c>
      <c r="T131" s="46"/>
      <c r="U131" s="46"/>
      <c r="V131" s="46" t="s">
        <v>25</v>
      </c>
      <c r="W131" s="46"/>
      <c r="X131" s="46"/>
      <c r="Y131" s="46"/>
      <c r="Z131" s="46"/>
      <c r="AA131" s="47" t="s">
        <v>26</v>
      </c>
      <c r="AB131" s="47"/>
      <c r="AC131" s="47"/>
    </row>
    <row r="132" spans="1:29" s="1" customFormat="1" ht="12.75" customHeight="1">
      <c r="A132" s="40" t="s">
        <v>27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 t="s">
        <v>28</v>
      </c>
      <c r="N132" s="40"/>
      <c r="O132" s="40"/>
      <c r="P132" s="40" t="s">
        <v>29</v>
      </c>
      <c r="Q132" s="40"/>
      <c r="R132" s="40"/>
      <c r="S132" s="41" t="s">
        <v>30</v>
      </c>
      <c r="T132" s="41"/>
      <c r="U132" s="41"/>
      <c r="V132" s="41" t="s">
        <v>31</v>
      </c>
      <c r="W132" s="41"/>
      <c r="X132" s="41"/>
      <c r="Y132" s="41"/>
      <c r="Z132" s="41"/>
      <c r="AA132" s="42" t="s">
        <v>32</v>
      </c>
      <c r="AB132" s="42"/>
      <c r="AC132" s="42"/>
    </row>
    <row r="133" spans="1:29" s="1" customFormat="1" ht="13.5" customHeight="1">
      <c r="A133" s="35" t="s">
        <v>193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6" t="s">
        <v>194</v>
      </c>
      <c r="N133" s="36"/>
      <c r="O133" s="36"/>
      <c r="P133" s="36" t="s">
        <v>35</v>
      </c>
      <c r="Q133" s="36"/>
      <c r="R133" s="36"/>
      <c r="S133" s="37">
        <f>1037111.29</f>
        <v>1037111.29</v>
      </c>
      <c r="T133" s="37"/>
      <c r="U133" s="37"/>
      <c r="V133" s="38">
        <f>-1949497.68</f>
        <v>-1949497.68</v>
      </c>
      <c r="W133" s="38"/>
      <c r="X133" s="38"/>
      <c r="Y133" s="38"/>
      <c r="Z133" s="38"/>
      <c r="AA133" s="39" t="s">
        <v>35</v>
      </c>
      <c r="AB133" s="39"/>
      <c r="AC133" s="39"/>
    </row>
    <row r="134" spans="1:29" s="1" customFormat="1" ht="13.5" customHeight="1">
      <c r="A134" s="33" t="s">
        <v>195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24" t="s">
        <v>10</v>
      </c>
      <c r="N134" s="24"/>
      <c r="O134" s="24"/>
      <c r="P134" s="24" t="s">
        <v>10</v>
      </c>
      <c r="Q134" s="24"/>
      <c r="R134" s="24"/>
      <c r="S134" s="25" t="s">
        <v>10</v>
      </c>
      <c r="T134" s="25"/>
      <c r="U134" s="25"/>
      <c r="V134" s="34" t="s">
        <v>10</v>
      </c>
      <c r="W134" s="34"/>
      <c r="X134" s="34"/>
      <c r="Y134" s="34"/>
      <c r="Z134" s="34"/>
      <c r="AA134" s="26" t="s">
        <v>10</v>
      </c>
      <c r="AB134" s="26"/>
      <c r="AC134" s="26"/>
    </row>
    <row r="135" spans="1:29" s="1" customFormat="1" ht="13.5" customHeight="1">
      <c r="A135" s="27" t="s">
        <v>196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8" t="s">
        <v>197</v>
      </c>
      <c r="N135" s="28"/>
      <c r="O135" s="28"/>
      <c r="P135" s="29" t="s">
        <v>35</v>
      </c>
      <c r="Q135" s="29"/>
      <c r="R135" s="29"/>
      <c r="S135" s="30" t="s">
        <v>44</v>
      </c>
      <c r="T135" s="30"/>
      <c r="U135" s="30"/>
      <c r="V135" s="31" t="s">
        <v>44</v>
      </c>
      <c r="W135" s="31"/>
      <c r="X135" s="31"/>
      <c r="Y135" s="31"/>
      <c r="Z135" s="31"/>
      <c r="AA135" s="32" t="s">
        <v>44</v>
      </c>
      <c r="AB135" s="32"/>
      <c r="AC135" s="32"/>
    </row>
    <row r="136" spans="1:29" s="1" customFormat="1" ht="13.5" customHeight="1">
      <c r="A136" s="23" t="s">
        <v>10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</row>
    <row r="137" spans="1:29" s="1" customFormat="1" ht="13.5" customHeight="1">
      <c r="A137" s="14" t="s">
        <v>198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24" t="s">
        <v>199</v>
      </c>
      <c r="N137" s="24"/>
      <c r="O137" s="24"/>
      <c r="P137" s="24" t="s">
        <v>35</v>
      </c>
      <c r="Q137" s="24"/>
      <c r="R137" s="24"/>
      <c r="S137" s="25" t="s">
        <v>44</v>
      </c>
      <c r="T137" s="25"/>
      <c r="U137" s="25"/>
      <c r="V137" s="21" t="s">
        <v>44</v>
      </c>
      <c r="W137" s="21"/>
      <c r="X137" s="21"/>
      <c r="Y137" s="21"/>
      <c r="Z137" s="21"/>
      <c r="AA137" s="26" t="s">
        <v>44</v>
      </c>
      <c r="AB137" s="26"/>
      <c r="AC137" s="26"/>
    </row>
    <row r="138" spans="1:29" s="1" customFormat="1" ht="13.5" customHeight="1">
      <c r="A138" s="14" t="s">
        <v>10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5" t="s">
        <v>199</v>
      </c>
      <c r="N138" s="15"/>
      <c r="O138" s="15"/>
      <c r="P138" s="15" t="s">
        <v>10</v>
      </c>
      <c r="Q138" s="15"/>
      <c r="R138" s="15"/>
      <c r="S138" s="20" t="s">
        <v>44</v>
      </c>
      <c r="T138" s="20"/>
      <c r="U138" s="20"/>
      <c r="V138" s="21" t="s">
        <v>44</v>
      </c>
      <c r="W138" s="21"/>
      <c r="X138" s="21"/>
      <c r="Y138" s="21"/>
      <c r="Z138" s="21"/>
      <c r="AA138" s="22" t="s">
        <v>44</v>
      </c>
      <c r="AB138" s="22"/>
      <c r="AC138" s="22"/>
    </row>
    <row r="139" spans="1:29" s="1" customFormat="1" ht="13.5" customHeight="1">
      <c r="A139" s="14" t="s">
        <v>200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5" t="s">
        <v>201</v>
      </c>
      <c r="N139" s="15"/>
      <c r="O139" s="15"/>
      <c r="P139" s="15" t="s">
        <v>202</v>
      </c>
      <c r="Q139" s="15"/>
      <c r="R139" s="15"/>
      <c r="S139" s="16">
        <f>1037111.29</f>
        <v>1037111.29</v>
      </c>
      <c r="T139" s="16"/>
      <c r="U139" s="16"/>
      <c r="V139" s="17">
        <f>-1949497.68</f>
        <v>-1949497.68</v>
      </c>
      <c r="W139" s="17"/>
      <c r="X139" s="17"/>
      <c r="Y139" s="17"/>
      <c r="Z139" s="17"/>
      <c r="AA139" s="19">
        <f>2986608.97</f>
        <v>2986608.97</v>
      </c>
      <c r="AB139" s="19"/>
      <c r="AC139" s="19"/>
    </row>
    <row r="140" spans="1:29" s="1" customFormat="1" ht="13.5" customHeight="1">
      <c r="A140" s="14" t="s">
        <v>203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5" t="s">
        <v>204</v>
      </c>
      <c r="N140" s="15"/>
      <c r="O140" s="15"/>
      <c r="P140" s="15" t="s">
        <v>205</v>
      </c>
      <c r="Q140" s="15"/>
      <c r="R140" s="15"/>
      <c r="S140" s="16">
        <f>-32284536.15</f>
        <v>-32284536.15</v>
      </c>
      <c r="T140" s="16"/>
      <c r="U140" s="16"/>
      <c r="V140" s="17">
        <f>-23308520.43</f>
        <v>-23308520.43</v>
      </c>
      <c r="W140" s="17"/>
      <c r="X140" s="17"/>
      <c r="Y140" s="17"/>
      <c r="Z140" s="17"/>
      <c r="AA140" s="18" t="s">
        <v>35</v>
      </c>
      <c r="AB140" s="18"/>
      <c r="AC140" s="18"/>
    </row>
    <row r="141" spans="1:29" s="1" customFormat="1" ht="13.5" customHeight="1">
      <c r="A141" s="14" t="s">
        <v>206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5" t="s">
        <v>207</v>
      </c>
      <c r="N141" s="15"/>
      <c r="O141" s="15"/>
      <c r="P141" s="15" t="s">
        <v>208</v>
      </c>
      <c r="Q141" s="15"/>
      <c r="R141" s="15"/>
      <c r="S141" s="16">
        <f>33321647.44</f>
        <v>33321647.44</v>
      </c>
      <c r="T141" s="16"/>
      <c r="U141" s="16"/>
      <c r="V141" s="17">
        <f>21359022.75</f>
        <v>21359022.75</v>
      </c>
      <c r="W141" s="17"/>
      <c r="X141" s="17"/>
      <c r="Y141" s="17"/>
      <c r="Z141" s="17"/>
      <c r="AA141" s="18" t="s">
        <v>35</v>
      </c>
      <c r="AB141" s="18"/>
      <c r="AC141" s="18"/>
    </row>
    <row r="142" spans="1:29" s="1" customFormat="1" ht="13.5" customHeight="1">
      <c r="A142" s="13" t="s">
        <v>10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</row>
    <row r="143" spans="1:29" s="1" customFormat="1" ht="13.5" customHeight="1">
      <c r="A143" s="8" t="s">
        <v>209</v>
      </c>
      <c r="B143" s="8"/>
      <c r="C143" s="8"/>
      <c r="D143" s="8"/>
      <c r="E143" s="8"/>
      <c r="F143" s="8"/>
      <c r="G143" s="8"/>
      <c r="H143" s="8"/>
      <c r="I143" s="12" t="s">
        <v>10</v>
      </c>
      <c r="J143" s="12"/>
      <c r="K143" s="12"/>
      <c r="L143" s="12"/>
      <c r="M143" s="12"/>
      <c r="N143" s="12"/>
      <c r="O143" s="12"/>
      <c r="P143" s="12" t="s">
        <v>210</v>
      </c>
      <c r="Q143" s="12"/>
      <c r="R143" s="12"/>
      <c r="S143" s="12"/>
      <c r="T143" s="12"/>
      <c r="U143" s="8" t="s">
        <v>10</v>
      </c>
      <c r="V143" s="8"/>
      <c r="W143" s="8"/>
      <c r="X143" s="8"/>
      <c r="Y143" s="8"/>
      <c r="Z143" s="8"/>
      <c r="AA143" s="8"/>
      <c r="AB143" s="8"/>
      <c r="AC143" s="8"/>
    </row>
    <row r="144" spans="1:29" s="1" customFormat="1" ht="13.5" customHeight="1">
      <c r="A144" s="8" t="s">
        <v>10</v>
      </c>
      <c r="B144" s="8"/>
      <c r="C144" s="8"/>
      <c r="D144" s="8"/>
      <c r="E144" s="8"/>
      <c r="F144" s="8"/>
      <c r="G144" s="8"/>
      <c r="H144" s="8"/>
      <c r="I144" s="5" t="s">
        <v>10</v>
      </c>
      <c r="J144" s="11" t="s">
        <v>211</v>
      </c>
      <c r="K144" s="11"/>
      <c r="L144" s="11"/>
      <c r="M144" s="11"/>
      <c r="N144" s="8" t="s">
        <v>10</v>
      </c>
      <c r="O144" s="8"/>
      <c r="P144" s="5" t="s">
        <v>10</v>
      </c>
      <c r="Q144" s="11" t="s">
        <v>212</v>
      </c>
      <c r="R144" s="11"/>
      <c r="S144" s="11"/>
      <c r="T144" s="8" t="s">
        <v>10</v>
      </c>
      <c r="U144" s="8"/>
      <c r="V144" s="8"/>
      <c r="W144" s="8"/>
      <c r="X144" s="8"/>
      <c r="Y144" s="8"/>
      <c r="Z144" s="8"/>
      <c r="AA144" s="8"/>
      <c r="AB144" s="8"/>
      <c r="AC144" s="8"/>
    </row>
    <row r="145" spans="1:29" s="1" customFormat="1" ht="7.5" customHeight="1">
      <c r="A145" s="8" t="s">
        <v>10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 spans="1:29" s="1" customFormat="1" ht="13.5" customHeight="1">
      <c r="A146" s="8" t="s">
        <v>10</v>
      </c>
      <c r="B146" s="8"/>
      <c r="C146" s="8"/>
      <c r="D146" s="8"/>
      <c r="E146" s="8"/>
      <c r="F146" s="8"/>
      <c r="G146" s="8"/>
      <c r="H146" s="8"/>
      <c r="I146" s="12" t="s">
        <v>10</v>
      </c>
      <c r="J146" s="12"/>
      <c r="K146" s="12"/>
      <c r="L146" s="12"/>
      <c r="M146" s="12"/>
      <c r="N146" s="12"/>
      <c r="O146" s="12"/>
      <c r="P146" s="12" t="s">
        <v>213</v>
      </c>
      <c r="Q146" s="12"/>
      <c r="R146" s="12"/>
      <c r="S146" s="12"/>
      <c r="T146" s="12"/>
      <c r="U146" s="8" t="s">
        <v>10</v>
      </c>
      <c r="V146" s="8"/>
      <c r="W146" s="8"/>
      <c r="X146" s="8"/>
      <c r="Y146" s="8"/>
      <c r="Z146" s="8"/>
      <c r="AA146" s="8"/>
      <c r="AB146" s="8"/>
      <c r="AC146" s="8"/>
    </row>
    <row r="147" spans="1:29" s="1" customFormat="1" ht="13.5" customHeight="1">
      <c r="A147" s="8" t="s">
        <v>10</v>
      </c>
      <c r="B147" s="8"/>
      <c r="C147" s="8"/>
      <c r="D147" s="8"/>
      <c r="E147" s="8"/>
      <c r="F147" s="8"/>
      <c r="G147" s="8"/>
      <c r="H147" s="8"/>
      <c r="I147" s="5" t="s">
        <v>10</v>
      </c>
      <c r="J147" s="11" t="s">
        <v>211</v>
      </c>
      <c r="K147" s="11"/>
      <c r="L147" s="11"/>
      <c r="M147" s="11"/>
      <c r="N147" s="8" t="s">
        <v>10</v>
      </c>
      <c r="O147" s="8"/>
      <c r="P147" s="5" t="s">
        <v>10</v>
      </c>
      <c r="Q147" s="11" t="s">
        <v>212</v>
      </c>
      <c r="R147" s="11"/>
      <c r="S147" s="11"/>
      <c r="T147" s="8" t="s">
        <v>10</v>
      </c>
      <c r="U147" s="8"/>
      <c r="V147" s="8"/>
      <c r="W147" s="8"/>
      <c r="X147" s="8"/>
      <c r="Y147" s="8"/>
      <c r="Z147" s="8"/>
      <c r="AA147" s="8"/>
      <c r="AB147" s="8"/>
      <c r="AC147" s="8"/>
    </row>
    <row r="148" spans="1:29" s="1" customFormat="1" ht="7.5" customHeight="1">
      <c r="A148" s="8" t="s">
        <v>10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 spans="1:29" s="1" customFormat="1" ht="13.5" customHeight="1">
      <c r="A149" s="8" t="s">
        <v>214</v>
      </c>
      <c r="B149" s="8"/>
      <c r="C149" s="12" t="s">
        <v>10</v>
      </c>
      <c r="D149" s="12"/>
      <c r="E149" s="12"/>
      <c r="F149" s="12"/>
      <c r="G149" s="12"/>
      <c r="H149" s="12"/>
      <c r="I149" s="12" t="s">
        <v>10</v>
      </c>
      <c r="J149" s="12"/>
      <c r="K149" s="12"/>
      <c r="L149" s="12"/>
      <c r="M149" s="12"/>
      <c r="N149" s="12"/>
      <c r="O149" s="12"/>
      <c r="P149" s="12" t="s">
        <v>215</v>
      </c>
      <c r="Q149" s="12"/>
      <c r="R149" s="12"/>
      <c r="S149" s="12"/>
      <c r="T149" s="12"/>
      <c r="U149" s="8" t="s">
        <v>10</v>
      </c>
      <c r="V149" s="8"/>
      <c r="W149" s="8"/>
      <c r="X149" s="8"/>
      <c r="Y149" s="8"/>
      <c r="Z149" s="8"/>
      <c r="AA149" s="8"/>
      <c r="AB149" s="8"/>
      <c r="AC149" s="8"/>
    </row>
    <row r="150" spans="1:29" s="1" customFormat="1" ht="13.5" customHeight="1">
      <c r="A150" s="8" t="s">
        <v>10</v>
      </c>
      <c r="B150" s="8"/>
      <c r="C150" s="5" t="s">
        <v>10</v>
      </c>
      <c r="D150" s="11" t="s">
        <v>216</v>
      </c>
      <c r="E150" s="11"/>
      <c r="F150" s="11"/>
      <c r="G150" s="11"/>
      <c r="H150" s="5" t="s">
        <v>10</v>
      </c>
      <c r="I150" s="5" t="s">
        <v>10</v>
      </c>
      <c r="J150" s="11" t="s">
        <v>211</v>
      </c>
      <c r="K150" s="11"/>
      <c r="L150" s="11"/>
      <c r="M150" s="11"/>
      <c r="N150" s="8" t="s">
        <v>10</v>
      </c>
      <c r="O150" s="8"/>
      <c r="P150" s="5" t="s">
        <v>10</v>
      </c>
      <c r="Q150" s="11" t="s">
        <v>212</v>
      </c>
      <c r="R150" s="11"/>
      <c r="S150" s="11"/>
      <c r="T150" s="8" t="s">
        <v>10</v>
      </c>
      <c r="U150" s="8"/>
      <c r="V150" s="8"/>
      <c r="W150" s="8"/>
      <c r="X150" s="8"/>
      <c r="Y150" s="8"/>
      <c r="Z150" s="8"/>
      <c r="AA150" s="8"/>
      <c r="AB150" s="8"/>
      <c r="AC150" s="8"/>
    </row>
    <row r="151" spans="1:29" s="1" customFormat="1" ht="15.75" customHeight="1">
      <c r="A151" s="8" t="s">
        <v>10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 spans="1:29" s="1" customFormat="1" ht="13.5" customHeight="1">
      <c r="A152" s="9" t="s">
        <v>217</v>
      </c>
      <c r="B152" s="9"/>
      <c r="C152" s="9"/>
      <c r="D152" s="9"/>
      <c r="E152" s="9"/>
      <c r="F152" s="9"/>
      <c r="G152" s="9"/>
      <c r="H152" s="9"/>
      <c r="I152" s="9"/>
      <c r="J152" s="9"/>
      <c r="K152" s="8" t="s">
        <v>10</v>
      </c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 spans="1:29" s="1" customFormat="1" ht="13.5" customHeight="1">
      <c r="A153" s="10" t="s">
        <v>218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</sheetData>
  <sheetProtection/>
  <mergeCells count="909">
    <mergeCell ref="A1:AB1"/>
    <mergeCell ref="A2:AB2"/>
    <mergeCell ref="A3:Y3"/>
    <mergeCell ref="Z3:AB3"/>
    <mergeCell ref="A4:E5"/>
    <mergeCell ref="F4:X5"/>
    <mergeCell ref="Y4:AB4"/>
    <mergeCell ref="Y5:AB5"/>
    <mergeCell ref="A6:F6"/>
    <mergeCell ref="G6:X6"/>
    <mergeCell ref="Y6:AB6"/>
    <mergeCell ref="B7:AB7"/>
    <mergeCell ref="A8:D8"/>
    <mergeCell ref="E8:W8"/>
    <mergeCell ref="X8:AB8"/>
    <mergeCell ref="A9:AC9"/>
    <mergeCell ref="A10:L10"/>
    <mergeCell ref="M10:O10"/>
    <mergeCell ref="P10:R10"/>
    <mergeCell ref="S10:U10"/>
    <mergeCell ref="V10:Z10"/>
    <mergeCell ref="AA10:AC10"/>
    <mergeCell ref="A11:L11"/>
    <mergeCell ref="M11:O11"/>
    <mergeCell ref="P11:R11"/>
    <mergeCell ref="S11:U11"/>
    <mergeCell ref="V11:Z11"/>
    <mergeCell ref="AA11:AC11"/>
    <mergeCell ref="A12:L12"/>
    <mergeCell ref="M12:O12"/>
    <mergeCell ref="P12:R12"/>
    <mergeCell ref="S12:U12"/>
    <mergeCell ref="V12:Z12"/>
    <mergeCell ref="AA12:AC12"/>
    <mergeCell ref="A13:L13"/>
    <mergeCell ref="M13:O13"/>
    <mergeCell ref="P13:R13"/>
    <mergeCell ref="S13:U13"/>
    <mergeCell ref="V13:Z13"/>
    <mergeCell ref="AA13:AC13"/>
    <mergeCell ref="A14:L14"/>
    <mergeCell ref="M14:O14"/>
    <mergeCell ref="P14:R14"/>
    <mergeCell ref="S14:U14"/>
    <mergeCell ref="V14:Z14"/>
    <mergeCell ref="AA14:AC14"/>
    <mergeCell ref="A15:L15"/>
    <mergeCell ref="M15:O15"/>
    <mergeCell ref="P15:R15"/>
    <mergeCell ref="S15:U15"/>
    <mergeCell ref="V15:Z15"/>
    <mergeCell ref="AA15:AC15"/>
    <mergeCell ref="A16:L16"/>
    <mergeCell ref="M16:O16"/>
    <mergeCell ref="P16:R16"/>
    <mergeCell ref="S16:U16"/>
    <mergeCell ref="V16:Z16"/>
    <mergeCell ref="AA16:AC16"/>
    <mergeCell ref="A17:L17"/>
    <mergeCell ref="M17:O17"/>
    <mergeCell ref="P17:R17"/>
    <mergeCell ref="S17:U17"/>
    <mergeCell ref="V17:Z17"/>
    <mergeCell ref="AA17:AC17"/>
    <mergeCell ref="A18:L18"/>
    <mergeCell ref="M18:O18"/>
    <mergeCell ref="P18:R18"/>
    <mergeCell ref="S18:U18"/>
    <mergeCell ref="V18:Z18"/>
    <mergeCell ref="AA18:AC18"/>
    <mergeCell ref="A19:L19"/>
    <mergeCell ref="M19:O19"/>
    <mergeCell ref="P19:R19"/>
    <mergeCell ref="S19:U19"/>
    <mergeCell ref="V19:Z19"/>
    <mergeCell ref="AA19:AC19"/>
    <mergeCell ref="A20:L20"/>
    <mergeCell ref="M20:O20"/>
    <mergeCell ref="P20:R20"/>
    <mergeCell ref="S20:U20"/>
    <mergeCell ref="V20:Z20"/>
    <mergeCell ref="AA20:AC20"/>
    <mergeCell ref="A21:L21"/>
    <mergeCell ref="M21:O21"/>
    <mergeCell ref="P21:R21"/>
    <mergeCell ref="S21:U21"/>
    <mergeCell ref="V21:Z21"/>
    <mergeCell ref="AA21:AC21"/>
    <mergeCell ref="A22:L22"/>
    <mergeCell ref="M22:O22"/>
    <mergeCell ref="P22:R22"/>
    <mergeCell ref="S22:U22"/>
    <mergeCell ref="V22:Z22"/>
    <mergeCell ref="AA22:AC22"/>
    <mergeCell ref="A23:L23"/>
    <mergeCell ref="M23:O23"/>
    <mergeCell ref="P23:R23"/>
    <mergeCell ref="S23:U23"/>
    <mergeCell ref="V23:Z23"/>
    <mergeCell ref="AA23:AC23"/>
    <mergeCell ref="A24:L24"/>
    <mergeCell ref="M24:O24"/>
    <mergeCell ref="P24:R24"/>
    <mergeCell ref="S24:U24"/>
    <mergeCell ref="V24:Z24"/>
    <mergeCell ref="AA24:AC24"/>
    <mergeCell ref="A25:L25"/>
    <mergeCell ref="M25:O25"/>
    <mergeCell ref="P25:R25"/>
    <mergeCell ref="S25:U25"/>
    <mergeCell ref="V25:Z25"/>
    <mergeCell ref="AA25:AC25"/>
    <mergeCell ref="A26:L26"/>
    <mergeCell ref="M26:O26"/>
    <mergeCell ref="P26:R26"/>
    <mergeCell ref="S26:U26"/>
    <mergeCell ref="V26:Z26"/>
    <mergeCell ref="AA26:AC26"/>
    <mergeCell ref="A27:L27"/>
    <mergeCell ref="M27:O27"/>
    <mergeCell ref="P27:R27"/>
    <mergeCell ref="S27:U27"/>
    <mergeCell ref="V27:Z27"/>
    <mergeCell ref="AA27:AC27"/>
    <mergeCell ref="A28:L28"/>
    <mergeCell ref="M28:O28"/>
    <mergeCell ref="P28:R28"/>
    <mergeCell ref="S28:U28"/>
    <mergeCell ref="V28:Z28"/>
    <mergeCell ref="AA28:AC28"/>
    <mergeCell ref="A29:L29"/>
    <mergeCell ref="M29:O29"/>
    <mergeCell ref="P29:R29"/>
    <mergeCell ref="S29:U29"/>
    <mergeCell ref="V29:Z29"/>
    <mergeCell ref="AA29:AC29"/>
    <mergeCell ref="A30:L30"/>
    <mergeCell ref="M30:O30"/>
    <mergeCell ref="P30:R30"/>
    <mergeCell ref="S30:U30"/>
    <mergeCell ref="V30:Z30"/>
    <mergeCell ref="AA30:AC30"/>
    <mergeCell ref="A31:L31"/>
    <mergeCell ref="M31:O31"/>
    <mergeCell ref="P31:R31"/>
    <mergeCell ref="S31:U31"/>
    <mergeCell ref="V31:Z31"/>
    <mergeCell ref="AA31:AC31"/>
    <mergeCell ref="A32:L32"/>
    <mergeCell ref="M32:O32"/>
    <mergeCell ref="P32:R32"/>
    <mergeCell ref="S32:U32"/>
    <mergeCell ref="V32:Z32"/>
    <mergeCell ref="AA32:AC32"/>
    <mergeCell ref="A33:L33"/>
    <mergeCell ref="M33:O33"/>
    <mergeCell ref="P33:R33"/>
    <mergeCell ref="S33:U33"/>
    <mergeCell ref="V33:Z33"/>
    <mergeCell ref="AA33:AC33"/>
    <mergeCell ref="A34:L34"/>
    <mergeCell ref="M34:O34"/>
    <mergeCell ref="P34:R34"/>
    <mergeCell ref="S34:U34"/>
    <mergeCell ref="V34:Z34"/>
    <mergeCell ref="AA34:AC34"/>
    <mergeCell ref="A35:L35"/>
    <mergeCell ref="M35:O35"/>
    <mergeCell ref="P35:R35"/>
    <mergeCell ref="S35:U35"/>
    <mergeCell ref="V35:Z35"/>
    <mergeCell ref="AA35:AC35"/>
    <mergeCell ref="T39:V39"/>
    <mergeCell ref="W39:AA39"/>
    <mergeCell ref="AB39:AC39"/>
    <mergeCell ref="A36:L36"/>
    <mergeCell ref="M36:O36"/>
    <mergeCell ref="P36:R36"/>
    <mergeCell ref="S36:U36"/>
    <mergeCell ref="V36:Z36"/>
    <mergeCell ref="AA36:AC36"/>
    <mergeCell ref="O40:Q40"/>
    <mergeCell ref="R40:S40"/>
    <mergeCell ref="T40:V40"/>
    <mergeCell ref="W40:AA40"/>
    <mergeCell ref="A37:AC37"/>
    <mergeCell ref="A38:AC38"/>
    <mergeCell ref="A39:K39"/>
    <mergeCell ref="L39:N39"/>
    <mergeCell ref="O39:Q39"/>
    <mergeCell ref="R39:S39"/>
    <mergeCell ref="AB40:AC40"/>
    <mergeCell ref="A41:K41"/>
    <mergeCell ref="L41:N41"/>
    <mergeCell ref="O41:Q41"/>
    <mergeCell ref="R41:S41"/>
    <mergeCell ref="T41:V41"/>
    <mergeCell ref="W41:AA41"/>
    <mergeCell ref="AB41:AC41"/>
    <mergeCell ref="A40:K40"/>
    <mergeCell ref="L40:N40"/>
    <mergeCell ref="W43:AA43"/>
    <mergeCell ref="AB43:AC43"/>
    <mergeCell ref="A42:K42"/>
    <mergeCell ref="L42:N42"/>
    <mergeCell ref="O42:Q42"/>
    <mergeCell ref="R42:S42"/>
    <mergeCell ref="T42:V42"/>
    <mergeCell ref="W42:AA42"/>
    <mergeCell ref="O44:Q44"/>
    <mergeCell ref="R44:S44"/>
    <mergeCell ref="T44:V44"/>
    <mergeCell ref="W44:AA44"/>
    <mergeCell ref="AB42:AC42"/>
    <mergeCell ref="A43:K43"/>
    <mergeCell ref="L43:N43"/>
    <mergeCell ref="O43:Q43"/>
    <mergeCell ref="R43:S43"/>
    <mergeCell ref="T43:V43"/>
    <mergeCell ref="AB44:AC44"/>
    <mergeCell ref="A45:K45"/>
    <mergeCell ref="L45:N45"/>
    <mergeCell ref="O45:Q45"/>
    <mergeCell ref="R45:S45"/>
    <mergeCell ref="T45:V45"/>
    <mergeCell ref="W45:AA45"/>
    <mergeCell ref="AB45:AC45"/>
    <mergeCell ref="A44:K44"/>
    <mergeCell ref="L44:N44"/>
    <mergeCell ref="W47:AA47"/>
    <mergeCell ref="AB47:AC47"/>
    <mergeCell ref="A46:K46"/>
    <mergeCell ref="L46:N46"/>
    <mergeCell ref="O46:Q46"/>
    <mergeCell ref="R46:S46"/>
    <mergeCell ref="T46:V46"/>
    <mergeCell ref="W46:AA46"/>
    <mergeCell ref="O48:Q48"/>
    <mergeCell ref="R48:S48"/>
    <mergeCell ref="T48:V48"/>
    <mergeCell ref="W48:AA48"/>
    <mergeCell ref="AB46:AC46"/>
    <mergeCell ref="A47:K47"/>
    <mergeCell ref="L47:N47"/>
    <mergeCell ref="O47:Q47"/>
    <mergeCell ref="R47:S47"/>
    <mergeCell ref="T47:V47"/>
    <mergeCell ref="AB48:AC48"/>
    <mergeCell ref="A49:K49"/>
    <mergeCell ref="L49:N49"/>
    <mergeCell ref="O49:Q49"/>
    <mergeCell ref="R49:S49"/>
    <mergeCell ref="T49:V49"/>
    <mergeCell ref="W49:AA49"/>
    <mergeCell ref="AB49:AC49"/>
    <mergeCell ref="A48:K48"/>
    <mergeCell ref="L48:N48"/>
    <mergeCell ref="W51:AA51"/>
    <mergeCell ref="AB51:AC51"/>
    <mergeCell ref="A50:K50"/>
    <mergeCell ref="L50:N50"/>
    <mergeCell ref="O50:Q50"/>
    <mergeCell ref="R50:S50"/>
    <mergeCell ref="T50:V50"/>
    <mergeCell ref="W50:AA50"/>
    <mergeCell ref="O52:Q52"/>
    <mergeCell ref="R52:S52"/>
    <mergeCell ref="T52:V52"/>
    <mergeCell ref="W52:AA52"/>
    <mergeCell ref="AB50:AC50"/>
    <mergeCell ref="A51:K51"/>
    <mergeCell ref="L51:N51"/>
    <mergeCell ref="O51:Q51"/>
    <mergeCell ref="R51:S51"/>
    <mergeCell ref="T51:V51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W55:AA55"/>
    <mergeCell ref="AB55:AC55"/>
    <mergeCell ref="A54:K54"/>
    <mergeCell ref="L54:N54"/>
    <mergeCell ref="O54:Q54"/>
    <mergeCell ref="R54:S54"/>
    <mergeCell ref="T54:V54"/>
    <mergeCell ref="W54:AA54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W59:AA59"/>
    <mergeCell ref="AB59:AC59"/>
    <mergeCell ref="A58:K58"/>
    <mergeCell ref="L58:N58"/>
    <mergeCell ref="O58:Q58"/>
    <mergeCell ref="R58:S58"/>
    <mergeCell ref="T58:V58"/>
    <mergeCell ref="W58:AA58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W63:AA63"/>
    <mergeCell ref="AB63:AC63"/>
    <mergeCell ref="A62:K62"/>
    <mergeCell ref="L62:N62"/>
    <mergeCell ref="O62:Q62"/>
    <mergeCell ref="R62:S62"/>
    <mergeCell ref="T62:V62"/>
    <mergeCell ref="W62:AA62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W67:AA67"/>
    <mergeCell ref="AB67:AC67"/>
    <mergeCell ref="A66:K66"/>
    <mergeCell ref="L66:N66"/>
    <mergeCell ref="O66:Q66"/>
    <mergeCell ref="R66:S66"/>
    <mergeCell ref="T66:V66"/>
    <mergeCell ref="W66:AA66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W71:AA71"/>
    <mergeCell ref="AB71:AC71"/>
    <mergeCell ref="A70:K70"/>
    <mergeCell ref="L70:N70"/>
    <mergeCell ref="O70:Q70"/>
    <mergeCell ref="R70:S70"/>
    <mergeCell ref="T70:V70"/>
    <mergeCell ref="W70:AA70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W75:AA75"/>
    <mergeCell ref="AB75:AC75"/>
    <mergeCell ref="A74:K74"/>
    <mergeCell ref="L74:N74"/>
    <mergeCell ref="O74:Q74"/>
    <mergeCell ref="R74:S74"/>
    <mergeCell ref="T74:V74"/>
    <mergeCell ref="W74:AA74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W79:AA79"/>
    <mergeCell ref="AB79:AC79"/>
    <mergeCell ref="A78:K78"/>
    <mergeCell ref="L78:N78"/>
    <mergeCell ref="O78:Q78"/>
    <mergeCell ref="R78:S78"/>
    <mergeCell ref="T78:V78"/>
    <mergeCell ref="W78:AA78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W83:AA83"/>
    <mergeCell ref="AB83:AC83"/>
    <mergeCell ref="A82:K82"/>
    <mergeCell ref="L82:N82"/>
    <mergeCell ref="O82:Q82"/>
    <mergeCell ref="R82:S82"/>
    <mergeCell ref="T82:V82"/>
    <mergeCell ref="W82:AA82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W87:AA87"/>
    <mergeCell ref="AB87:AC87"/>
    <mergeCell ref="A86:K86"/>
    <mergeCell ref="L86:N86"/>
    <mergeCell ref="O86:Q86"/>
    <mergeCell ref="R86:S86"/>
    <mergeCell ref="T86:V86"/>
    <mergeCell ref="W86:AA86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W91:AA91"/>
    <mergeCell ref="AB91:AC91"/>
    <mergeCell ref="A90:K90"/>
    <mergeCell ref="L90:N90"/>
    <mergeCell ref="O90:Q90"/>
    <mergeCell ref="R90:S90"/>
    <mergeCell ref="T90:V90"/>
    <mergeCell ref="W90:AA90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W95:AA95"/>
    <mergeCell ref="AB95:AC95"/>
    <mergeCell ref="A94:K94"/>
    <mergeCell ref="L94:N94"/>
    <mergeCell ref="O94:Q94"/>
    <mergeCell ref="R94:S94"/>
    <mergeCell ref="T94:V94"/>
    <mergeCell ref="W94:AA94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W99:AA99"/>
    <mergeCell ref="AB99:AC99"/>
    <mergeCell ref="A98:K98"/>
    <mergeCell ref="L98:N98"/>
    <mergeCell ref="O98:Q98"/>
    <mergeCell ref="R98:S98"/>
    <mergeCell ref="T98:V98"/>
    <mergeCell ref="W98:AA98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W111:AA111"/>
    <mergeCell ref="AB111:AC111"/>
    <mergeCell ref="A110:K110"/>
    <mergeCell ref="L110:N110"/>
    <mergeCell ref="O110:Q110"/>
    <mergeCell ref="R110:S110"/>
    <mergeCell ref="T110:V110"/>
    <mergeCell ref="W110:AA110"/>
    <mergeCell ref="O112:Q112"/>
    <mergeCell ref="R112:S112"/>
    <mergeCell ref="T112:V112"/>
    <mergeCell ref="W112:AA112"/>
    <mergeCell ref="AB110:AC110"/>
    <mergeCell ref="A111:K111"/>
    <mergeCell ref="L111:N111"/>
    <mergeCell ref="O111:Q111"/>
    <mergeCell ref="R111:S111"/>
    <mergeCell ref="T111:V111"/>
    <mergeCell ref="AB112:AC112"/>
    <mergeCell ref="A113:K113"/>
    <mergeCell ref="L113:N113"/>
    <mergeCell ref="O113:Q113"/>
    <mergeCell ref="R113:S113"/>
    <mergeCell ref="T113:V113"/>
    <mergeCell ref="W113:AA113"/>
    <mergeCell ref="AB113:AC113"/>
    <mergeCell ref="A112:K112"/>
    <mergeCell ref="L112:N112"/>
    <mergeCell ref="W115:AA115"/>
    <mergeCell ref="AB115:AC115"/>
    <mergeCell ref="A114:K114"/>
    <mergeCell ref="L114:N114"/>
    <mergeCell ref="O114:Q114"/>
    <mergeCell ref="R114:S114"/>
    <mergeCell ref="T114:V114"/>
    <mergeCell ref="W114:AA114"/>
    <mergeCell ref="O116:Q116"/>
    <mergeCell ref="R116:S116"/>
    <mergeCell ref="T116:V116"/>
    <mergeCell ref="W116:AA116"/>
    <mergeCell ref="AB114:AC114"/>
    <mergeCell ref="A115:K115"/>
    <mergeCell ref="L115:N115"/>
    <mergeCell ref="O115:Q115"/>
    <mergeCell ref="R115:S115"/>
    <mergeCell ref="T115:V115"/>
    <mergeCell ref="AB116:AC116"/>
    <mergeCell ref="A117:K117"/>
    <mergeCell ref="L117:N117"/>
    <mergeCell ref="O117:Q117"/>
    <mergeCell ref="R117:S117"/>
    <mergeCell ref="T117:V117"/>
    <mergeCell ref="W117:AA117"/>
    <mergeCell ref="AB117:AC117"/>
    <mergeCell ref="A116:K116"/>
    <mergeCell ref="L116:N116"/>
    <mergeCell ref="W119:AA119"/>
    <mergeCell ref="AB119:AC119"/>
    <mergeCell ref="A118:K118"/>
    <mergeCell ref="L118:N118"/>
    <mergeCell ref="O118:Q118"/>
    <mergeCell ref="R118:S118"/>
    <mergeCell ref="T118:V118"/>
    <mergeCell ref="W118:AA118"/>
    <mergeCell ref="O120:Q120"/>
    <mergeCell ref="R120:S120"/>
    <mergeCell ref="T120:V120"/>
    <mergeCell ref="W120:AA120"/>
    <mergeCell ref="AB118:AC118"/>
    <mergeCell ref="A119:K119"/>
    <mergeCell ref="L119:N119"/>
    <mergeCell ref="O119:Q119"/>
    <mergeCell ref="R119:S119"/>
    <mergeCell ref="T119:V119"/>
    <mergeCell ref="AB120:AC120"/>
    <mergeCell ref="A121:K121"/>
    <mergeCell ref="L121:N121"/>
    <mergeCell ref="O121:Q121"/>
    <mergeCell ref="R121:S121"/>
    <mergeCell ref="T121:V121"/>
    <mergeCell ref="W121:AA121"/>
    <mergeCell ref="AB121:AC121"/>
    <mergeCell ref="A120:K120"/>
    <mergeCell ref="L120:N120"/>
    <mergeCell ref="W123:AA123"/>
    <mergeCell ref="AB123:AC123"/>
    <mergeCell ref="A122:K122"/>
    <mergeCell ref="L122:N122"/>
    <mergeCell ref="O122:Q122"/>
    <mergeCell ref="R122:S122"/>
    <mergeCell ref="T122:V122"/>
    <mergeCell ref="W122:AA122"/>
    <mergeCell ref="O124:Q124"/>
    <mergeCell ref="R124:S124"/>
    <mergeCell ref="T124:V124"/>
    <mergeCell ref="W124:AA124"/>
    <mergeCell ref="AB122:AC122"/>
    <mergeCell ref="A123:K123"/>
    <mergeCell ref="L123:N123"/>
    <mergeCell ref="O123:Q123"/>
    <mergeCell ref="R123:S123"/>
    <mergeCell ref="T123:V123"/>
    <mergeCell ref="AB124:AC124"/>
    <mergeCell ref="A125:K125"/>
    <mergeCell ref="L125:N125"/>
    <mergeCell ref="O125:Q125"/>
    <mergeCell ref="R125:S125"/>
    <mergeCell ref="T125:V125"/>
    <mergeCell ref="W125:AA125"/>
    <mergeCell ref="AB125:AC125"/>
    <mergeCell ref="A124:K124"/>
    <mergeCell ref="L124:N124"/>
    <mergeCell ref="A126:K126"/>
    <mergeCell ref="L126:N126"/>
    <mergeCell ref="O126:Q126"/>
    <mergeCell ref="R126:S126"/>
    <mergeCell ref="T126:V126"/>
    <mergeCell ref="W126:AA126"/>
    <mergeCell ref="A127:K127"/>
    <mergeCell ref="L127:N127"/>
    <mergeCell ref="O127:Q127"/>
    <mergeCell ref="R127:S127"/>
    <mergeCell ref="T127:V127"/>
    <mergeCell ref="W127:AA127"/>
    <mergeCell ref="L128:N128"/>
    <mergeCell ref="O128:Q128"/>
    <mergeCell ref="R128:S128"/>
    <mergeCell ref="T128:V128"/>
    <mergeCell ref="W128:AA128"/>
    <mergeCell ref="AB126:AC126"/>
    <mergeCell ref="AB127:AC127"/>
    <mergeCell ref="AB128:AC128"/>
    <mergeCell ref="A129:AC129"/>
    <mergeCell ref="A130:AC130"/>
    <mergeCell ref="A131:L131"/>
    <mergeCell ref="M131:O131"/>
    <mergeCell ref="P131:R131"/>
    <mergeCell ref="S131:U131"/>
    <mergeCell ref="V131:Z131"/>
    <mergeCell ref="AA131:AC131"/>
    <mergeCell ref="A128:K128"/>
    <mergeCell ref="A132:L132"/>
    <mergeCell ref="M132:O132"/>
    <mergeCell ref="P132:R132"/>
    <mergeCell ref="S132:U132"/>
    <mergeCell ref="V132:Z132"/>
    <mergeCell ref="AA132:AC132"/>
    <mergeCell ref="A133:L133"/>
    <mergeCell ref="M133:O133"/>
    <mergeCell ref="P133:R133"/>
    <mergeCell ref="S133:U133"/>
    <mergeCell ref="V133:Z133"/>
    <mergeCell ref="AA133:AC133"/>
    <mergeCell ref="A134:L134"/>
    <mergeCell ref="M134:O134"/>
    <mergeCell ref="P134:R134"/>
    <mergeCell ref="S134:U134"/>
    <mergeCell ref="V134:Z134"/>
    <mergeCell ref="AA134:AC134"/>
    <mergeCell ref="A135:L135"/>
    <mergeCell ref="M135:O135"/>
    <mergeCell ref="P135:R135"/>
    <mergeCell ref="S135:U135"/>
    <mergeCell ref="V135:Z135"/>
    <mergeCell ref="AA135:AC135"/>
    <mergeCell ref="A136:AC136"/>
    <mergeCell ref="A137:L137"/>
    <mergeCell ref="M137:O137"/>
    <mergeCell ref="P137:R137"/>
    <mergeCell ref="S137:U137"/>
    <mergeCell ref="V137:Z137"/>
    <mergeCell ref="AA137:AC137"/>
    <mergeCell ref="A138:L138"/>
    <mergeCell ref="M138:O138"/>
    <mergeCell ref="P138:R138"/>
    <mergeCell ref="S138:U138"/>
    <mergeCell ref="V138:Z138"/>
    <mergeCell ref="AA138:AC138"/>
    <mergeCell ref="A139:L139"/>
    <mergeCell ref="M139:O139"/>
    <mergeCell ref="P139:R139"/>
    <mergeCell ref="S139:U139"/>
    <mergeCell ref="V139:Z139"/>
    <mergeCell ref="AA139:AC139"/>
    <mergeCell ref="A140:L140"/>
    <mergeCell ref="M140:O140"/>
    <mergeCell ref="P140:R140"/>
    <mergeCell ref="S140:U140"/>
    <mergeCell ref="V140:Z140"/>
    <mergeCell ref="AA140:AC140"/>
    <mergeCell ref="A141:L141"/>
    <mergeCell ref="M141:O141"/>
    <mergeCell ref="P141:R141"/>
    <mergeCell ref="S141:U141"/>
    <mergeCell ref="V141:Z141"/>
    <mergeCell ref="AA141:AC141"/>
    <mergeCell ref="A142:AC142"/>
    <mergeCell ref="A143:H143"/>
    <mergeCell ref="I143:O143"/>
    <mergeCell ref="P143:T143"/>
    <mergeCell ref="U143:AC143"/>
    <mergeCell ref="A144:H144"/>
    <mergeCell ref="J144:M144"/>
    <mergeCell ref="N144:O144"/>
    <mergeCell ref="Q144:S144"/>
    <mergeCell ref="T144:AC144"/>
    <mergeCell ref="A145:AC145"/>
    <mergeCell ref="A146:H146"/>
    <mergeCell ref="I146:O146"/>
    <mergeCell ref="P146:T146"/>
    <mergeCell ref="U146:AC146"/>
    <mergeCell ref="A147:H147"/>
    <mergeCell ref="J147:M147"/>
    <mergeCell ref="N147:O147"/>
    <mergeCell ref="Q147:S147"/>
    <mergeCell ref="T147:AC147"/>
    <mergeCell ref="A148:AC148"/>
    <mergeCell ref="A149:B149"/>
    <mergeCell ref="C149:H149"/>
    <mergeCell ref="I149:O149"/>
    <mergeCell ref="P149:T149"/>
    <mergeCell ref="U149:AC149"/>
    <mergeCell ref="A151:AC151"/>
    <mergeCell ref="A152:J152"/>
    <mergeCell ref="K152:AC152"/>
    <mergeCell ref="A153:AC153"/>
    <mergeCell ref="A150:B150"/>
    <mergeCell ref="D150:G150"/>
    <mergeCell ref="J150:M150"/>
    <mergeCell ref="N150:O150"/>
    <mergeCell ref="Q150:S150"/>
    <mergeCell ref="T150:AC150"/>
  </mergeCells>
  <printOptions/>
  <pageMargins left="0.3937007874015748" right="0" top="0.3937007874015748" bottom="0" header="0.5118110236220472" footer="0.5118110236220472"/>
  <pageSetup orientation="landscape" paperSize="9" r:id="rId1"/>
  <rowBreaks count="2" manualBreakCount="2">
    <brk id="37" max="255" man="1"/>
    <brk id="12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</cp:lastModifiedBy>
  <cp:lastPrinted>2020-09-07T06:58:32Z</cp:lastPrinted>
  <dcterms:created xsi:type="dcterms:W3CDTF">2020-08-06T05:17:48Z</dcterms:created>
  <dcterms:modified xsi:type="dcterms:W3CDTF">2020-09-07T06:58:33Z</dcterms:modified>
  <cp:category/>
  <cp:version/>
  <cp:contentType/>
  <cp:contentStatus/>
</cp:coreProperties>
</file>